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240" yWindow="135" windowWidth="9075" windowHeight="5265" firstSheet="1" activeTab="7"/>
  </bookViews>
  <sheets>
    <sheet name="RELAÇÃO DAS RUAS" sheetId="20" state="hidden" r:id="rId1"/>
    <sheet name="MEMÓRIA DE CÁLCULO" sheetId="22" r:id="rId2"/>
    <sheet name="PLANILHA CAIXA" sheetId="1" r:id="rId3"/>
    <sheet name="PLANO DE APLICAÇÃO" sheetId="27" state="hidden" r:id="rId4"/>
    <sheet name="RELAÇÃO DE  RUAS" sheetId="28" state="hidden" r:id="rId5"/>
    <sheet name="QCI" sheetId="30" r:id="rId6"/>
    <sheet name="CROQUIS " sheetId="33" state="hidden" r:id="rId7"/>
    <sheet name="CRONOGRAMA" sheetId="31" r:id="rId8"/>
    <sheet name="BDI" sheetId="36" state="hidden" r:id="rId9"/>
    <sheet name="cpu " sheetId="34" state="hidden" r:id="rId10"/>
  </sheets>
  <externalReferences>
    <externalReference r:id="rId11"/>
  </externalReferences>
  <definedNames>
    <definedName name="_xlnm.Print_Area" localSheetId="8">BDI!$B$1:$AN$26</definedName>
    <definedName name="_xlnm.Print_Area" localSheetId="6">'CROQUIS '!$A$1:$J$72</definedName>
    <definedName name="_xlnm.Print_Area" localSheetId="1">'MEMÓRIA DE CÁLCULO'!$B$1:$K$329</definedName>
    <definedName name="_xlnm.Print_Area" localSheetId="2">'PLANILHA CAIXA'!$B$1:$AN$212</definedName>
    <definedName name="_xlnm.Print_Area" localSheetId="3">'PLANO DE APLICAÇÃO'!$A$1:$E$18</definedName>
  </definedNames>
  <calcPr calcId="145621"/>
</workbook>
</file>

<file path=xl/calcChain.xml><?xml version="1.0" encoding="utf-8"?>
<calcChain xmlns="http://schemas.openxmlformats.org/spreadsheetml/2006/main">
  <c r="AI176" i="1" l="1"/>
  <c r="Y90" i="1" l="1"/>
  <c r="Y123" i="1" s="1"/>
  <c r="Y157" i="1" s="1"/>
  <c r="Y190" i="1" s="1"/>
  <c r="Y89" i="1"/>
  <c r="Y122" i="1" s="1"/>
  <c r="G269" i="22"/>
  <c r="G270" i="22" s="1"/>
  <c r="G268" i="22"/>
  <c r="AB157" i="1" s="1"/>
  <c r="G267" i="22"/>
  <c r="G264" i="22"/>
  <c r="G265" i="22" s="1"/>
  <c r="G263" i="22"/>
  <c r="G262" i="22"/>
  <c r="AB57" i="1" s="1"/>
  <c r="G257" i="22"/>
  <c r="H257" i="22" s="1"/>
  <c r="H256" i="22"/>
  <c r="AB156" i="1" s="1"/>
  <c r="G256" i="22"/>
  <c r="G255" i="22"/>
  <c r="H255" i="22" s="1"/>
  <c r="G253" i="22"/>
  <c r="H253" i="22" s="1"/>
  <c r="G252" i="22"/>
  <c r="H252" i="22" s="1"/>
  <c r="G251" i="22"/>
  <c r="H251" i="22" s="1"/>
  <c r="G250" i="22"/>
  <c r="H250" i="22" s="1"/>
  <c r="AB56" i="1" s="1"/>
  <c r="V193" i="1"/>
  <c r="AB162" i="1"/>
  <c r="V160" i="1"/>
  <c r="E299" i="22"/>
  <c r="Y128" i="1"/>
  <c r="Y161" i="1" s="1"/>
  <c r="AB161" i="1" s="1"/>
  <c r="Y93" i="1"/>
  <c r="Y127" i="1" s="1"/>
  <c r="Y160" i="1" s="1"/>
  <c r="Y193" i="1" s="1"/>
  <c r="Y63" i="1"/>
  <c r="E200" i="34"/>
  <c r="E201" i="34" s="1"/>
  <c r="G201" i="34" s="1"/>
  <c r="A201" i="34"/>
  <c r="G200" i="34"/>
  <c r="A200" i="34"/>
  <c r="E177" i="34"/>
  <c r="G177" i="34" s="1"/>
  <c r="A178" i="34"/>
  <c r="A177" i="34"/>
  <c r="E154" i="34"/>
  <c r="E155" i="34" s="1"/>
  <c r="G155" i="34" s="1"/>
  <c r="E129" i="34"/>
  <c r="G129" i="34" s="1"/>
  <c r="A130" i="34"/>
  <c r="A155" i="34" s="1"/>
  <c r="A129" i="34"/>
  <c r="A154" i="34" s="1"/>
  <c r="E107" i="34"/>
  <c r="E108" i="34" s="1"/>
  <c r="G108" i="34" s="1"/>
  <c r="E82" i="34"/>
  <c r="G82" i="34" s="1"/>
  <c r="A83" i="34"/>
  <c r="A108" i="34" s="1"/>
  <c r="A82" i="34"/>
  <c r="A107" i="34" s="1"/>
  <c r="E59" i="34"/>
  <c r="E60" i="34" s="1"/>
  <c r="G60" i="34" s="1"/>
  <c r="A59" i="34"/>
  <c r="E35" i="34"/>
  <c r="E36" i="34" s="1"/>
  <c r="E10" i="34"/>
  <c r="E11" i="34" s="1"/>
  <c r="C318" i="22"/>
  <c r="D318" i="22"/>
  <c r="C304" i="22"/>
  <c r="D296" i="22"/>
  <c r="D304" i="22" s="1"/>
  <c r="G288" i="22"/>
  <c r="G287" i="22"/>
  <c r="J287" i="22" s="1"/>
  <c r="G286" i="22"/>
  <c r="J286" i="22" s="1"/>
  <c r="AB159" i="1" s="1"/>
  <c r="F285" i="22"/>
  <c r="J282" i="22"/>
  <c r="J283" i="22"/>
  <c r="J284" i="22"/>
  <c r="J285" i="22"/>
  <c r="J288" i="22"/>
  <c r="F281" i="22"/>
  <c r="D281" i="22"/>
  <c r="C281" i="22"/>
  <c r="G280" i="22"/>
  <c r="J280" i="22" s="1"/>
  <c r="B38" i="22"/>
  <c r="C38" i="22"/>
  <c r="D38" i="22"/>
  <c r="AB186" i="1"/>
  <c r="AB195" i="1"/>
  <c r="AF187" i="1"/>
  <c r="AF185" i="1"/>
  <c r="AB185" i="1"/>
  <c r="AF179" i="1"/>
  <c r="AB179" i="1"/>
  <c r="AF175" i="1"/>
  <c r="AB175" i="1"/>
  <c r="AF168" i="1"/>
  <c r="AB168" i="1"/>
  <c r="G132" i="1"/>
  <c r="AF154" i="1"/>
  <c r="AF152" i="1"/>
  <c r="AB152" i="1"/>
  <c r="AF146" i="1"/>
  <c r="AB146" i="1"/>
  <c r="AF142" i="1"/>
  <c r="AB142" i="1"/>
  <c r="AF135" i="1"/>
  <c r="AB135" i="1"/>
  <c r="AB129" i="1"/>
  <c r="AF120" i="1"/>
  <c r="AF118" i="1"/>
  <c r="AB118" i="1"/>
  <c r="AF112" i="1"/>
  <c r="AB112" i="1"/>
  <c r="AF108" i="1"/>
  <c r="AB108" i="1"/>
  <c r="AF101" i="1"/>
  <c r="AB101" i="1"/>
  <c r="G65" i="1"/>
  <c r="AB96" i="1"/>
  <c r="AB95" i="1"/>
  <c r="AB94" i="1"/>
  <c r="AF87" i="1"/>
  <c r="AF85" i="1"/>
  <c r="AB85" i="1"/>
  <c r="AF79" i="1"/>
  <c r="AB79" i="1"/>
  <c r="AF75" i="1"/>
  <c r="AB75" i="1"/>
  <c r="AF68" i="1"/>
  <c r="AB68" i="1"/>
  <c r="C243" i="22"/>
  <c r="E243" i="22" s="1"/>
  <c r="G243" i="22" s="1"/>
  <c r="C244" i="22"/>
  <c r="E244" i="22" s="1"/>
  <c r="G244" i="22" s="1"/>
  <c r="C207" i="22"/>
  <c r="F131" i="22"/>
  <c r="F132" i="22"/>
  <c r="F133" i="22"/>
  <c r="F136" i="22"/>
  <c r="F137" i="22"/>
  <c r="G59" i="34" l="1"/>
  <c r="H61" i="34" s="1"/>
  <c r="H64" i="34" s="1"/>
  <c r="H66" i="34" s="1"/>
  <c r="H258" i="22"/>
  <c r="AB189" i="1" s="1"/>
  <c r="AB192" i="1"/>
  <c r="E83" i="34"/>
  <c r="G107" i="34"/>
  <c r="H109" i="34" s="1"/>
  <c r="H112" i="34" s="1"/>
  <c r="H114" i="34" s="1"/>
  <c r="E130" i="34"/>
  <c r="G154" i="34"/>
  <c r="H156" i="34" s="1"/>
  <c r="H159" i="34" s="1"/>
  <c r="H161" i="34" s="1"/>
  <c r="E178" i="34"/>
  <c r="AB190" i="1"/>
  <c r="G258" i="22"/>
  <c r="AB123" i="1"/>
  <c r="AB90" i="1"/>
  <c r="AB122" i="1"/>
  <c r="AB89" i="1"/>
  <c r="K285" i="22"/>
  <c r="AB126" i="1" s="1"/>
  <c r="AB128" i="1"/>
  <c r="Y130" i="1"/>
  <c r="AB130" i="1" s="1"/>
  <c r="AB193" i="1"/>
  <c r="AB160" i="1"/>
  <c r="Y194" i="1"/>
  <c r="Y163" i="1"/>
  <c r="AB163" i="1" s="1"/>
  <c r="AB127" i="1"/>
  <c r="AB93" i="1"/>
  <c r="H202" i="34"/>
  <c r="H205" i="34" s="1"/>
  <c r="H207" i="34" s="1"/>
  <c r="G178" i="34"/>
  <c r="H179" i="34" s="1"/>
  <c r="H182" i="34" s="1"/>
  <c r="H184" i="34" s="1"/>
  <c r="G130" i="34"/>
  <c r="H131" i="34" s="1"/>
  <c r="H134" i="34" s="1"/>
  <c r="H136" i="34" s="1"/>
  <c r="G83" i="34"/>
  <c r="H84" i="34" s="1"/>
  <c r="H87" i="34" s="1"/>
  <c r="H89" i="34" s="1"/>
  <c r="J281" i="22"/>
  <c r="AB92" i="1" s="1"/>
  <c r="AB188" i="1"/>
  <c r="D54" i="22"/>
  <c r="D67" i="22" s="1"/>
  <c r="D83" i="22" s="1"/>
  <c r="D100" i="22" s="1"/>
  <c r="D115" i="22" s="1"/>
  <c r="D130" i="22" s="1"/>
  <c r="D147" i="22" s="1"/>
  <c r="D161" i="22" s="1"/>
  <c r="D177" i="22" s="1"/>
  <c r="D193" i="22" s="1"/>
  <c r="D211" i="22" s="1"/>
  <c r="D39" i="22"/>
  <c r="D55" i="22" s="1"/>
  <c r="D68" i="22" s="1"/>
  <c r="D84" i="22" s="1"/>
  <c r="D101" i="22" s="1"/>
  <c r="D116" i="22" s="1"/>
  <c r="D131" i="22" s="1"/>
  <c r="D148" i="22" s="1"/>
  <c r="D162" i="22" s="1"/>
  <c r="D178" i="22" s="1"/>
  <c r="D194" i="22" s="1"/>
  <c r="D212" i="22" s="1"/>
  <c r="D40" i="22"/>
  <c r="D56" i="22" s="1"/>
  <c r="D69" i="22" s="1"/>
  <c r="D85" i="22" s="1"/>
  <c r="D102" i="22" s="1"/>
  <c r="D117" i="22" s="1"/>
  <c r="D132" i="22" s="1"/>
  <c r="D149" i="22" s="1"/>
  <c r="D163" i="22" s="1"/>
  <c r="D179" i="22" s="1"/>
  <c r="D195" i="22" s="1"/>
  <c r="D213" i="22" s="1"/>
  <c r="D41" i="22"/>
  <c r="D57" i="22" s="1"/>
  <c r="D70" i="22" s="1"/>
  <c r="D86" i="22" s="1"/>
  <c r="D103" i="22" s="1"/>
  <c r="D118" i="22" s="1"/>
  <c r="D133" i="22" s="1"/>
  <c r="D150" i="22" s="1"/>
  <c r="D164" i="22" s="1"/>
  <c r="D180" i="22" s="1"/>
  <c r="D196" i="22" s="1"/>
  <c r="D214" i="22" s="1"/>
  <c r="D42" i="22"/>
  <c r="D58" i="22" s="1"/>
  <c r="D71" i="22" s="1"/>
  <c r="D87" i="22" s="1"/>
  <c r="D104" i="22" s="1"/>
  <c r="D119" i="22" s="1"/>
  <c r="D134" i="22" s="1"/>
  <c r="D151" i="22" s="1"/>
  <c r="D165" i="22" s="1"/>
  <c r="D181" i="22" s="1"/>
  <c r="D197" i="22" s="1"/>
  <c r="D215" i="22" s="1"/>
  <c r="D43" i="22"/>
  <c r="D59" i="22" s="1"/>
  <c r="D72" i="22" s="1"/>
  <c r="D88" i="22" s="1"/>
  <c r="D105" i="22" s="1"/>
  <c r="D120" i="22" s="1"/>
  <c r="D135" i="22" s="1"/>
  <c r="D152" i="22" s="1"/>
  <c r="D166" i="22" s="1"/>
  <c r="D182" i="22" s="1"/>
  <c r="D198" i="22" s="1"/>
  <c r="D216" i="22" s="1"/>
  <c r="D44" i="22"/>
  <c r="D60" i="22" s="1"/>
  <c r="D73" i="22" s="1"/>
  <c r="D89" i="22" s="1"/>
  <c r="D106" i="22" s="1"/>
  <c r="D121" i="22" s="1"/>
  <c r="D136" i="22" s="1"/>
  <c r="D153" i="22" s="1"/>
  <c r="D167" i="22" s="1"/>
  <c r="D183" i="22" s="1"/>
  <c r="D199" i="22" s="1"/>
  <c r="D217" i="22" s="1"/>
  <c r="D45" i="22"/>
  <c r="D61" i="22" s="1"/>
  <c r="D74" i="22" s="1"/>
  <c r="D90" i="22" s="1"/>
  <c r="D107" i="22" s="1"/>
  <c r="D122" i="22" s="1"/>
  <c r="D137" i="22" s="1"/>
  <c r="D154" i="22" s="1"/>
  <c r="D168" i="22" s="1"/>
  <c r="D184" i="22" s="1"/>
  <c r="D200" i="22" s="1"/>
  <c r="D218" i="22" s="1"/>
  <c r="D37" i="22"/>
  <c r="D53" i="22" s="1"/>
  <c r="D66" i="22" s="1"/>
  <c r="D82" i="22" s="1"/>
  <c r="D99" i="22" s="1"/>
  <c r="D114" i="22" s="1"/>
  <c r="D129" i="22" s="1"/>
  <c r="D146" i="22" s="1"/>
  <c r="D160" i="22" s="1"/>
  <c r="D176" i="22" s="1"/>
  <c r="D192" i="22" s="1"/>
  <c r="D210" i="22" s="1"/>
  <c r="C54" i="22"/>
  <c r="C67" i="22" s="1"/>
  <c r="C39" i="22"/>
  <c r="C40" i="22"/>
  <c r="C56" i="22" s="1"/>
  <c r="C69" i="22" s="1"/>
  <c r="C41" i="22"/>
  <c r="C57" i="22" s="1"/>
  <c r="C70" i="22" s="1"/>
  <c r="C42" i="22"/>
  <c r="C58" i="22" s="1"/>
  <c r="C71" i="22" s="1"/>
  <c r="C87" i="22" s="1"/>
  <c r="C104" i="22" s="1"/>
  <c r="C119" i="22" s="1"/>
  <c r="C134" i="22" s="1"/>
  <c r="C151" i="22" s="1"/>
  <c r="C165" i="22" s="1"/>
  <c r="C43" i="22"/>
  <c r="C59" i="22" s="1"/>
  <c r="C72" i="22" s="1"/>
  <c r="C44" i="22"/>
  <c r="C60" i="22" s="1"/>
  <c r="C73" i="22" s="1"/>
  <c r="C45" i="22"/>
  <c r="C61" i="22" s="1"/>
  <c r="C74" i="22" s="1"/>
  <c r="C90" i="22" s="1"/>
  <c r="C107" i="22" s="1"/>
  <c r="C122" i="22" s="1"/>
  <c r="C137" i="22" s="1"/>
  <c r="C154" i="22" s="1"/>
  <c r="C168" i="22" s="1"/>
  <c r="C184" i="22" s="1"/>
  <c r="C200" i="22" s="1"/>
  <c r="C37" i="22"/>
  <c r="C53" i="22" s="1"/>
  <c r="C66" i="22" s="1"/>
  <c r="C82" i="22" s="1"/>
  <c r="C99" i="22" s="1"/>
  <c r="C114" i="22" s="1"/>
  <c r="B54" i="22"/>
  <c r="B67" i="22" s="1"/>
  <c r="B83" i="22" s="1"/>
  <c r="B100" i="22" s="1"/>
  <c r="B115" i="22" s="1"/>
  <c r="B130" i="22" s="1"/>
  <c r="B147" i="22" s="1"/>
  <c r="B161" i="22" s="1"/>
  <c r="B177" i="22" s="1"/>
  <c r="B193" i="22" s="1"/>
  <c r="B211" i="22" s="1"/>
  <c r="B224" i="22" s="1"/>
  <c r="B237" i="22" s="1"/>
  <c r="B251" i="22" s="1"/>
  <c r="B39" i="22"/>
  <c r="B55" i="22" s="1"/>
  <c r="B68" i="22" s="1"/>
  <c r="B84" i="22" s="1"/>
  <c r="B101" i="22" s="1"/>
  <c r="B116" i="22" s="1"/>
  <c r="B131" i="22" s="1"/>
  <c r="B148" i="22" s="1"/>
  <c r="B162" i="22" s="1"/>
  <c r="B178" i="22" s="1"/>
  <c r="B194" i="22" s="1"/>
  <c r="B212" i="22" s="1"/>
  <c r="B225" i="22" s="1"/>
  <c r="B238" i="22" s="1"/>
  <c r="B252" i="22" s="1"/>
  <c r="B40" i="22"/>
  <c r="B56" i="22" s="1"/>
  <c r="B69" i="22" s="1"/>
  <c r="B85" i="22" s="1"/>
  <c r="B102" i="22" s="1"/>
  <c r="B117" i="22" s="1"/>
  <c r="B132" i="22" s="1"/>
  <c r="B149" i="22" s="1"/>
  <c r="B163" i="22" s="1"/>
  <c r="B179" i="22" s="1"/>
  <c r="B195" i="22" s="1"/>
  <c r="B213" i="22" s="1"/>
  <c r="B226" i="22" s="1"/>
  <c r="B239" i="22" s="1"/>
  <c r="B253" i="22" s="1"/>
  <c r="B41" i="22"/>
  <c r="B57" i="22" s="1"/>
  <c r="B70" i="22" s="1"/>
  <c r="B86" i="22" s="1"/>
  <c r="B103" i="22" s="1"/>
  <c r="B118" i="22" s="1"/>
  <c r="B133" i="22" s="1"/>
  <c r="B150" i="22" s="1"/>
  <c r="B164" i="22" s="1"/>
  <c r="B180" i="22" s="1"/>
  <c r="B196" i="22" s="1"/>
  <c r="B214" i="22" s="1"/>
  <c r="B227" i="22" s="1"/>
  <c r="B240" i="22" s="1"/>
  <c r="B254" i="22" s="1"/>
  <c r="B42" i="22"/>
  <c r="B58" i="22" s="1"/>
  <c r="B71" i="22" s="1"/>
  <c r="B87" i="22" s="1"/>
  <c r="B104" i="22" s="1"/>
  <c r="B119" i="22" s="1"/>
  <c r="B134" i="22" s="1"/>
  <c r="B151" i="22" s="1"/>
  <c r="B165" i="22" s="1"/>
  <c r="B181" i="22" s="1"/>
  <c r="B197" i="22" s="1"/>
  <c r="B215" i="22" s="1"/>
  <c r="B228" i="22" s="1"/>
  <c r="B241" i="22" s="1"/>
  <c r="B255" i="22" s="1"/>
  <c r="B43" i="22"/>
  <c r="B59" i="22" s="1"/>
  <c r="B72" i="22" s="1"/>
  <c r="B88" i="22" s="1"/>
  <c r="B105" i="22" s="1"/>
  <c r="B120" i="22" s="1"/>
  <c r="B135" i="22" s="1"/>
  <c r="B152" i="22" s="1"/>
  <c r="B166" i="22" s="1"/>
  <c r="B182" i="22" s="1"/>
  <c r="B198" i="22" s="1"/>
  <c r="B216" i="22" s="1"/>
  <c r="B229" i="22" s="1"/>
  <c r="B242" i="22" s="1"/>
  <c r="B256" i="22" s="1"/>
  <c r="B44" i="22"/>
  <c r="B60" i="22" s="1"/>
  <c r="B73" i="22" s="1"/>
  <c r="B89" i="22" s="1"/>
  <c r="B106" i="22" s="1"/>
  <c r="B121" i="22" s="1"/>
  <c r="B136" i="22" s="1"/>
  <c r="B153" i="22" s="1"/>
  <c r="B167" i="22" s="1"/>
  <c r="B183" i="22" s="1"/>
  <c r="B199" i="22" s="1"/>
  <c r="B217" i="22" s="1"/>
  <c r="B230" i="22" s="1"/>
  <c r="B243" i="22" s="1"/>
  <c r="B257" i="22" s="1"/>
  <c r="B45" i="22"/>
  <c r="B61" i="22" s="1"/>
  <c r="B74" i="22" s="1"/>
  <c r="B90" i="22" s="1"/>
  <c r="B107" i="22" s="1"/>
  <c r="B122" i="22" s="1"/>
  <c r="B137" i="22" s="1"/>
  <c r="B154" i="22" s="1"/>
  <c r="B168" i="22" s="1"/>
  <c r="B184" i="22" s="1"/>
  <c r="B200" i="22" s="1"/>
  <c r="B218" i="22" s="1"/>
  <c r="B231" i="22" s="1"/>
  <c r="B244" i="22" s="1"/>
  <c r="B258" i="22" s="1"/>
  <c r="B37" i="22"/>
  <c r="B53" i="22" s="1"/>
  <c r="B66" i="22" s="1"/>
  <c r="B82" i="22" s="1"/>
  <c r="B99" i="22" s="1"/>
  <c r="B114" i="22" s="1"/>
  <c r="B129" i="22" s="1"/>
  <c r="B146" i="22" s="1"/>
  <c r="B160" i="22" s="1"/>
  <c r="B176" i="22" s="1"/>
  <c r="B192" i="22" s="1"/>
  <c r="B210" i="22" s="1"/>
  <c r="B223" i="22" s="1"/>
  <c r="B236" i="22" s="1"/>
  <c r="B250" i="22" s="1"/>
  <c r="E24" i="22"/>
  <c r="E23" i="22"/>
  <c r="E44" i="22" s="1"/>
  <c r="E22" i="22"/>
  <c r="E21" i="22"/>
  <c r="E42" i="22" s="1"/>
  <c r="G42" i="22" s="1"/>
  <c r="E20" i="22"/>
  <c r="E41" i="22" s="1"/>
  <c r="E19" i="22"/>
  <c r="E40" i="22" s="1"/>
  <c r="E18" i="22"/>
  <c r="E17" i="22"/>
  <c r="E38" i="22" s="1"/>
  <c r="G38" i="22" s="1"/>
  <c r="E16" i="22"/>
  <c r="AJ18" i="36"/>
  <c r="G11" i="34"/>
  <c r="A35" i="34"/>
  <c r="A60" i="34" s="1"/>
  <c r="A36" i="34"/>
  <c r="G35" i="34"/>
  <c r="G10" i="34"/>
  <c r="B280" i="22" l="1"/>
  <c r="B295" i="22" s="1"/>
  <c r="B313" i="22" s="1"/>
  <c r="B262" i="22"/>
  <c r="B287" i="22"/>
  <c r="B302" i="22" s="1"/>
  <c r="B269" i="22"/>
  <c r="B285" i="22"/>
  <c r="B300" i="22" s="1"/>
  <c r="B267" i="22"/>
  <c r="B283" i="22"/>
  <c r="B298" i="22" s="1"/>
  <c r="B265" i="22"/>
  <c r="B281" i="22"/>
  <c r="B296" i="22" s="1"/>
  <c r="B314" i="22" s="1"/>
  <c r="B263" i="22"/>
  <c r="B288" i="22"/>
  <c r="B303" i="22" s="1"/>
  <c r="B270" i="22"/>
  <c r="B286" i="22"/>
  <c r="B301" i="22" s="1"/>
  <c r="B316" i="22" s="1"/>
  <c r="B268" i="22"/>
  <c r="B284" i="22"/>
  <c r="B299" i="22" s="1"/>
  <c r="B266" i="22"/>
  <c r="B282" i="22"/>
  <c r="B297" i="22" s="1"/>
  <c r="B264" i="22"/>
  <c r="AB194" i="1"/>
  <c r="Y196" i="1"/>
  <c r="AB196" i="1" s="1"/>
  <c r="E39" i="22"/>
  <c r="H18" i="22"/>
  <c r="E43" i="22"/>
  <c r="G58" i="22"/>
  <c r="I58" i="22" s="1"/>
  <c r="E37" i="22"/>
  <c r="E53" i="22" s="1"/>
  <c r="E66" i="22" s="1"/>
  <c r="E45" i="22"/>
  <c r="G45" i="22" s="1"/>
  <c r="G61" i="22" s="1"/>
  <c r="I61" i="22" s="1"/>
  <c r="H24" i="22"/>
  <c r="C181" i="22"/>
  <c r="C197" i="22" s="1"/>
  <c r="E165" i="22"/>
  <c r="E58" i="22"/>
  <c r="E71" i="22" s="1"/>
  <c r="E87" i="22" s="1"/>
  <c r="E168" i="22"/>
  <c r="C218" i="22"/>
  <c r="C231" i="22" s="1"/>
  <c r="E200" i="22"/>
  <c r="C129" i="22"/>
  <c r="C83" i="22"/>
  <c r="C100" i="22" s="1"/>
  <c r="C115" i="22" s="1"/>
  <c r="C130" i="22" s="1"/>
  <c r="C147" i="22" s="1"/>
  <c r="C161" i="22" s="1"/>
  <c r="G41" i="22"/>
  <c r="G57" i="22" s="1"/>
  <c r="E57" i="22"/>
  <c r="E70" i="22" s="1"/>
  <c r="E86" i="22" s="1"/>
  <c r="C88" i="22"/>
  <c r="C105" i="22" s="1"/>
  <c r="C120" i="22" s="1"/>
  <c r="C135" i="22" s="1"/>
  <c r="C152" i="22" s="1"/>
  <c r="C166" i="22" s="1"/>
  <c r="C55" i="22"/>
  <c r="C68" i="22" s="1"/>
  <c r="G44" i="22"/>
  <c r="G60" i="22" s="1"/>
  <c r="E60" i="22"/>
  <c r="E73" i="22" s="1"/>
  <c r="E89" i="22" s="1"/>
  <c r="E54" i="22"/>
  <c r="E67" i="22" s="1"/>
  <c r="E83" i="22" s="1"/>
  <c r="C86" i="22"/>
  <c r="C103" i="22" s="1"/>
  <c r="C118" i="22" s="1"/>
  <c r="C133" i="22" s="1"/>
  <c r="C150" i="22" s="1"/>
  <c r="C164" i="22" s="1"/>
  <c r="C89" i="22"/>
  <c r="C106" i="22" s="1"/>
  <c r="C121" i="22" s="1"/>
  <c r="C136" i="22" s="1"/>
  <c r="C153" i="22" s="1"/>
  <c r="C167" i="22" s="1"/>
  <c r="C85" i="22"/>
  <c r="C102" i="22" s="1"/>
  <c r="C117" i="22" s="1"/>
  <c r="C132" i="22" s="1"/>
  <c r="C149" i="22" s="1"/>
  <c r="C163" i="22" s="1"/>
  <c r="E25" i="22"/>
  <c r="H12" i="34"/>
  <c r="H15" i="34" s="1"/>
  <c r="H17" i="34" s="1"/>
  <c r="G36" i="34"/>
  <c r="H37" i="34" s="1"/>
  <c r="H40" i="34" s="1"/>
  <c r="H42" i="34" s="1"/>
  <c r="C25" i="22"/>
  <c r="G32" i="1"/>
  <c r="G37" i="22" l="1"/>
  <c r="G90" i="22"/>
  <c r="G107" i="22" s="1"/>
  <c r="H107" i="22" s="1"/>
  <c r="J107" i="22" s="1"/>
  <c r="AB67" i="1"/>
  <c r="AB76" i="1"/>
  <c r="AB71" i="1"/>
  <c r="E184" i="22"/>
  <c r="G184" i="22" s="1"/>
  <c r="H184" i="22" s="1"/>
  <c r="J184" i="22" s="1"/>
  <c r="E181" i="22"/>
  <c r="G181" i="22" s="1"/>
  <c r="H181" i="22" s="1"/>
  <c r="J181" i="22" s="1"/>
  <c r="E82" i="22"/>
  <c r="E99" i="22" s="1"/>
  <c r="E114" i="22" s="1"/>
  <c r="E129" i="22" s="1"/>
  <c r="E61" i="22"/>
  <c r="E74" i="22" s="1"/>
  <c r="E90" i="22" s="1"/>
  <c r="E107" i="22" s="1"/>
  <c r="E122" i="22" s="1"/>
  <c r="E137" i="22" s="1"/>
  <c r="E154" i="22" s="1"/>
  <c r="G154" i="22" s="1"/>
  <c r="H154" i="22" s="1"/>
  <c r="J154" i="22" s="1"/>
  <c r="G87" i="22"/>
  <c r="G104" i="22" s="1"/>
  <c r="H104" i="22" s="1"/>
  <c r="J104" i="22" s="1"/>
  <c r="G54" i="22"/>
  <c r="G83" i="22" s="1"/>
  <c r="G100" i="22" s="1"/>
  <c r="H20" i="22"/>
  <c r="AB176" i="1"/>
  <c r="AB167" i="1"/>
  <c r="AB171" i="1"/>
  <c r="AB134" i="1"/>
  <c r="AB143" i="1"/>
  <c r="AB138" i="1"/>
  <c r="E197" i="22"/>
  <c r="C215" i="22"/>
  <c r="C228" i="22" s="1"/>
  <c r="D228" i="22" s="1"/>
  <c r="C241" i="22" s="1"/>
  <c r="E241" i="22" s="1"/>
  <c r="G241" i="22" s="1"/>
  <c r="C183" i="22"/>
  <c r="C199" i="22" s="1"/>
  <c r="E167" i="22"/>
  <c r="E183" i="22" s="1"/>
  <c r="G183" i="22" s="1"/>
  <c r="H183" i="22" s="1"/>
  <c r="J183" i="22" s="1"/>
  <c r="C180" i="22"/>
  <c r="C196" i="22" s="1"/>
  <c r="E164" i="22"/>
  <c r="E180" i="22" s="1"/>
  <c r="G180" i="22" s="1"/>
  <c r="H180" i="22" s="1"/>
  <c r="J180" i="22" s="1"/>
  <c r="E166" i="22"/>
  <c r="C182" i="22"/>
  <c r="C198" i="22" s="1"/>
  <c r="C177" i="22"/>
  <c r="C193" i="22" s="1"/>
  <c r="E161" i="22"/>
  <c r="C179" i="22"/>
  <c r="C195" i="22" s="1"/>
  <c r="E163" i="22"/>
  <c r="E179" i="22" s="1"/>
  <c r="G179" i="22" s="1"/>
  <c r="H179" i="22" s="1"/>
  <c r="J179" i="22" s="1"/>
  <c r="G200" i="22"/>
  <c r="E218" i="22"/>
  <c r="H218" i="22" s="1"/>
  <c r="J218" i="22" s="1"/>
  <c r="I57" i="22"/>
  <c r="G86" i="22"/>
  <c r="G103" i="22" s="1"/>
  <c r="C146" i="22"/>
  <c r="C160" i="22" s="1"/>
  <c r="I60" i="22"/>
  <c r="G89" i="22"/>
  <c r="G106" i="22" s="1"/>
  <c r="E104" i="22"/>
  <c r="E119" i="22" s="1"/>
  <c r="E134" i="22" s="1"/>
  <c r="E151" i="22" s="1"/>
  <c r="G151" i="22" s="1"/>
  <c r="H151" i="22" s="1"/>
  <c r="J151" i="22" s="1"/>
  <c r="E106" i="22"/>
  <c r="E121" i="22" s="1"/>
  <c r="E136" i="22" s="1"/>
  <c r="E153" i="22" s="1"/>
  <c r="G153" i="22" s="1"/>
  <c r="H153" i="22" s="1"/>
  <c r="J153" i="22" s="1"/>
  <c r="C84" i="22"/>
  <c r="C101" i="22" s="1"/>
  <c r="C116" i="22" s="1"/>
  <c r="C131" i="22" s="1"/>
  <c r="C148" i="22" s="1"/>
  <c r="C162" i="22" s="1"/>
  <c r="C62" i="22"/>
  <c r="C75" i="22"/>
  <c r="G39" i="22"/>
  <c r="G55" i="22" s="1"/>
  <c r="E55" i="22"/>
  <c r="E68" i="22" s="1"/>
  <c r="E84" i="22" s="1"/>
  <c r="E100" i="22"/>
  <c r="E115" i="22" s="1"/>
  <c r="E130" i="22" s="1"/>
  <c r="E147" i="22" s="1"/>
  <c r="G147" i="22" s="1"/>
  <c r="H147" i="22" s="1"/>
  <c r="J147" i="22" s="1"/>
  <c r="AB77" i="1" s="1"/>
  <c r="G43" i="22"/>
  <c r="E59" i="22"/>
  <c r="E72" i="22" s="1"/>
  <c r="E88" i="22" s="1"/>
  <c r="E105" i="22" s="1"/>
  <c r="E120" i="22" s="1"/>
  <c r="E135" i="22" s="1"/>
  <c r="E152" i="22" s="1"/>
  <c r="G152" i="22" s="1"/>
  <c r="H152" i="22" s="1"/>
  <c r="J152" i="22" s="1"/>
  <c r="AB144" i="1" s="1"/>
  <c r="G40" i="22"/>
  <c r="G56" i="22" s="1"/>
  <c r="E56" i="22"/>
  <c r="E69" i="22" s="1"/>
  <c r="E85" i="22" s="1"/>
  <c r="E102" i="22" s="1"/>
  <c r="E117" i="22" s="1"/>
  <c r="E132" i="22" s="1"/>
  <c r="E149" i="22" s="1"/>
  <c r="G149" i="22" s="1"/>
  <c r="H149" i="22" s="1"/>
  <c r="J149" i="22" s="1"/>
  <c r="E103" i="22"/>
  <c r="E118" i="22" s="1"/>
  <c r="E133" i="22" s="1"/>
  <c r="E150" i="22" s="1"/>
  <c r="G150" i="22" s="1"/>
  <c r="H150" i="22" s="1"/>
  <c r="J150" i="22" s="1"/>
  <c r="G53" i="22" l="1"/>
  <c r="I53" i="22" s="1"/>
  <c r="G119" i="22"/>
  <c r="G122" i="22"/>
  <c r="I54" i="22"/>
  <c r="AB73" i="1" s="1"/>
  <c r="H42" i="22"/>
  <c r="AB177" i="1"/>
  <c r="AB69" i="1"/>
  <c r="E182" i="22"/>
  <c r="G182" i="22" s="1"/>
  <c r="H182" i="22" s="1"/>
  <c r="J182" i="22" s="1"/>
  <c r="AB148" i="1" s="1"/>
  <c r="AB147" i="1"/>
  <c r="AB109" i="1"/>
  <c r="AB104" i="1"/>
  <c r="AB100" i="1"/>
  <c r="G59" i="22"/>
  <c r="G88" i="22" s="1"/>
  <c r="G105" i="22" s="1"/>
  <c r="AB172" i="1"/>
  <c r="AB174" i="1"/>
  <c r="AB169" i="1"/>
  <c r="AB170" i="1"/>
  <c r="AB180" i="1"/>
  <c r="E177" i="22"/>
  <c r="G177" i="22" s="1"/>
  <c r="H177" i="22" s="1"/>
  <c r="J177" i="22" s="1"/>
  <c r="AB81" i="1" s="1"/>
  <c r="AB80" i="1"/>
  <c r="AB181" i="1"/>
  <c r="E195" i="22"/>
  <c r="C213" i="22"/>
  <c r="C226" i="22" s="1"/>
  <c r="D226" i="22" s="1"/>
  <c r="C239" i="22" s="1"/>
  <c r="E239" i="22" s="1"/>
  <c r="G239" i="22" s="1"/>
  <c r="C211" i="22"/>
  <c r="C224" i="22" s="1"/>
  <c r="D224" i="22" s="1"/>
  <c r="E193" i="22"/>
  <c r="C217" i="22"/>
  <c r="C230" i="22" s="1"/>
  <c r="E199" i="22"/>
  <c r="E162" i="22"/>
  <c r="E178" i="22" s="1"/>
  <c r="G178" i="22" s="1"/>
  <c r="H178" i="22" s="1"/>
  <c r="J178" i="22" s="1"/>
  <c r="K181" i="22" s="1"/>
  <c r="AB114" i="1" s="1"/>
  <c r="C178" i="22"/>
  <c r="C194" i="22" s="1"/>
  <c r="E160" i="22"/>
  <c r="C176" i="22"/>
  <c r="C214" i="22"/>
  <c r="C227" i="22" s="1"/>
  <c r="D227" i="22" s="1"/>
  <c r="C240" i="22" s="1"/>
  <c r="E240" i="22" s="1"/>
  <c r="G240" i="22" s="1"/>
  <c r="E196" i="22"/>
  <c r="E215" i="22"/>
  <c r="H215" i="22" s="1"/>
  <c r="J215" i="22" s="1"/>
  <c r="G197" i="22"/>
  <c r="E198" i="22"/>
  <c r="C216" i="22"/>
  <c r="C229" i="22" s="1"/>
  <c r="D229" i="22" s="1"/>
  <c r="I55" i="22"/>
  <c r="G84" i="22"/>
  <c r="G101" i="22" s="1"/>
  <c r="E146" i="22"/>
  <c r="I56" i="22"/>
  <c r="G85" i="22"/>
  <c r="G102" i="22" s="1"/>
  <c r="H106" i="22"/>
  <c r="J106" i="22" s="1"/>
  <c r="AB173" i="1" s="1"/>
  <c r="G121" i="22"/>
  <c r="H103" i="22"/>
  <c r="J103" i="22" s="1"/>
  <c r="G118" i="22"/>
  <c r="H100" i="22"/>
  <c r="J100" i="22" s="1"/>
  <c r="G115" i="22"/>
  <c r="E75" i="22"/>
  <c r="C91" i="22"/>
  <c r="E101" i="22"/>
  <c r="E116" i="22" s="1"/>
  <c r="E131" i="22" s="1"/>
  <c r="E148" i="22" s="1"/>
  <c r="G148" i="22" s="1"/>
  <c r="H148" i="22" s="1"/>
  <c r="J148" i="22" s="1"/>
  <c r="K151" i="22" s="1"/>
  <c r="AB110" i="1" s="1"/>
  <c r="E62" i="22"/>
  <c r="C46" i="22"/>
  <c r="G62" i="22" l="1"/>
  <c r="G82" i="22"/>
  <c r="G99" i="22" s="1"/>
  <c r="H99" i="22" s="1"/>
  <c r="J99" i="22" s="1"/>
  <c r="I59" i="22"/>
  <c r="I62" i="22" s="1"/>
  <c r="H165" i="22"/>
  <c r="AB113" i="1" s="1"/>
  <c r="AB153" i="1"/>
  <c r="C242" i="22"/>
  <c r="E242" i="22" s="1"/>
  <c r="G242" i="22" s="1"/>
  <c r="AB155" i="1" s="1"/>
  <c r="AB86" i="1"/>
  <c r="C237" i="22"/>
  <c r="E237" i="22" s="1"/>
  <c r="G237" i="22" s="1"/>
  <c r="AB88" i="1" s="1"/>
  <c r="AB139" i="1"/>
  <c r="AB141" i="1"/>
  <c r="AB137" i="1"/>
  <c r="AB136" i="1"/>
  <c r="AB70" i="1"/>
  <c r="AB107" i="1"/>
  <c r="AB105" i="1"/>
  <c r="AB102" i="1"/>
  <c r="AB103" i="1"/>
  <c r="C192" i="22"/>
  <c r="G195" i="22"/>
  <c r="E213" i="22"/>
  <c r="H213" i="22" s="1"/>
  <c r="J213" i="22" s="1"/>
  <c r="E216" i="22"/>
  <c r="H216" i="22" s="1"/>
  <c r="J216" i="22" s="1"/>
  <c r="AB150" i="1" s="1"/>
  <c r="G198" i="22"/>
  <c r="AB149" i="1" s="1"/>
  <c r="E194" i="22"/>
  <c r="C212" i="22"/>
  <c r="C225" i="22" s="1"/>
  <c r="D225" i="22" s="1"/>
  <c r="E217" i="22"/>
  <c r="H217" i="22" s="1"/>
  <c r="J217" i="22" s="1"/>
  <c r="AB183" i="1" s="1"/>
  <c r="G199" i="22"/>
  <c r="AB182" i="1" s="1"/>
  <c r="E214" i="22"/>
  <c r="H214" i="22" s="1"/>
  <c r="J214" i="22" s="1"/>
  <c r="G196" i="22"/>
  <c r="E176" i="22"/>
  <c r="E211" i="22"/>
  <c r="H211" i="22" s="1"/>
  <c r="J211" i="22" s="1"/>
  <c r="AB83" i="1" s="1"/>
  <c r="G193" i="22"/>
  <c r="AB82" i="1" s="1"/>
  <c r="C108" i="22"/>
  <c r="G146" i="22"/>
  <c r="H102" i="22"/>
  <c r="J102" i="22" s="1"/>
  <c r="G117" i="22"/>
  <c r="H105" i="22"/>
  <c r="J105" i="22" s="1"/>
  <c r="AB140" i="1" s="1"/>
  <c r="G120" i="22"/>
  <c r="H101" i="22"/>
  <c r="J101" i="22" s="1"/>
  <c r="G116" i="22"/>
  <c r="E91" i="22"/>
  <c r="E46" i="22"/>
  <c r="G91" i="22" l="1"/>
  <c r="G114" i="22"/>
  <c r="K104" i="22"/>
  <c r="AB106" i="1" s="1"/>
  <c r="AB74" i="1"/>
  <c r="AB72" i="1"/>
  <c r="H225" i="22"/>
  <c r="AB119" i="1" s="1"/>
  <c r="C238" i="22"/>
  <c r="E238" i="22" s="1"/>
  <c r="G238" i="22" s="1"/>
  <c r="I241" i="22" s="1"/>
  <c r="AB121" i="1" s="1"/>
  <c r="G176" i="22"/>
  <c r="E192" i="22"/>
  <c r="C210" i="22"/>
  <c r="C223" i="22" s="1"/>
  <c r="D223" i="22" s="1"/>
  <c r="G194" i="22"/>
  <c r="H197" i="22" s="1"/>
  <c r="AB115" i="1" s="1"/>
  <c r="E212" i="22"/>
  <c r="H212" i="22" s="1"/>
  <c r="J212" i="22" s="1"/>
  <c r="K215" i="22" s="1"/>
  <c r="AB116" i="1" s="1"/>
  <c r="E123" i="22"/>
  <c r="C123" i="22"/>
  <c r="H146" i="22"/>
  <c r="E108" i="22"/>
  <c r="G46" i="22"/>
  <c r="G123" i="22" l="1"/>
  <c r="C236" i="22"/>
  <c r="E236" i="22" s="1"/>
  <c r="G236" i="22" s="1"/>
  <c r="G192" i="22"/>
  <c r="E210" i="22"/>
  <c r="H176" i="22"/>
  <c r="J176" i="22" s="1"/>
  <c r="J146" i="22"/>
  <c r="C138" i="22"/>
  <c r="E138" i="22"/>
  <c r="G108" i="22"/>
  <c r="B205" i="22"/>
  <c r="F209" i="22"/>
  <c r="H210" i="22" l="1"/>
  <c r="C169" i="22"/>
  <c r="E155" i="22"/>
  <c r="J108" i="22"/>
  <c r="C97" i="22" s="1"/>
  <c r="H108" i="22"/>
  <c r="B289" i="22"/>
  <c r="B279" i="22"/>
  <c r="B304" i="22"/>
  <c r="B318" i="22" s="1"/>
  <c r="B294" i="22"/>
  <c r="B312" i="22" s="1"/>
  <c r="J175" i="22"/>
  <c r="I175" i="22"/>
  <c r="B185" i="22"/>
  <c r="B201" i="22" s="1"/>
  <c r="B219" i="22" s="1"/>
  <c r="B155" i="22"/>
  <c r="B145" i="22"/>
  <c r="G52" i="22"/>
  <c r="F52" i="22"/>
  <c r="C185" i="22" l="1"/>
  <c r="J210" i="22"/>
  <c r="E169" i="22"/>
  <c r="G155" i="22"/>
  <c r="C277" i="22"/>
  <c r="E185" i="22" l="1"/>
  <c r="H155" i="22"/>
  <c r="G98" i="22"/>
  <c r="G113" i="22" s="1"/>
  <c r="F98" i="22"/>
  <c r="F113" i="22" s="1"/>
  <c r="E36" i="22"/>
  <c r="E52" i="22" s="1"/>
  <c r="D36" i="22"/>
  <c r="D52" i="22" s="1"/>
  <c r="C36" i="22"/>
  <c r="C52" i="22" s="1"/>
  <c r="B36" i="22"/>
  <c r="AJ18" i="1"/>
  <c r="D71" i="33"/>
  <c r="AF52" i="1"/>
  <c r="AI189" i="1" l="1"/>
  <c r="AI157" i="1"/>
  <c r="AI190" i="1"/>
  <c r="AI156" i="1"/>
  <c r="AI56" i="1"/>
  <c r="AI57" i="1"/>
  <c r="AI90" i="1"/>
  <c r="AI89" i="1"/>
  <c r="AI123" i="1"/>
  <c r="AI122" i="1"/>
  <c r="J155" i="22"/>
  <c r="D143" i="22" s="1"/>
  <c r="C219" i="22"/>
  <c r="AI196" i="1"/>
  <c r="AI194" i="1"/>
  <c r="AI192" i="1"/>
  <c r="AI181" i="1"/>
  <c r="AI177" i="1"/>
  <c r="AI174" i="1"/>
  <c r="AI170" i="1"/>
  <c r="AI167" i="1"/>
  <c r="AI166" i="1" s="1"/>
  <c r="AI163" i="1"/>
  <c r="AI161" i="1"/>
  <c r="AI159" i="1"/>
  <c r="AI148" i="1"/>
  <c r="AI144" i="1"/>
  <c r="AI141" i="1"/>
  <c r="AI137" i="1"/>
  <c r="AI134" i="1"/>
  <c r="AI133" i="1" s="1"/>
  <c r="AI121" i="1"/>
  <c r="AI113" i="1"/>
  <c r="AI109" i="1"/>
  <c r="AI106" i="1"/>
  <c r="AI102" i="1"/>
  <c r="AI95" i="1"/>
  <c r="AI93" i="1"/>
  <c r="AI83" i="1"/>
  <c r="AI72" i="1"/>
  <c r="AI193" i="1"/>
  <c r="AI183" i="1"/>
  <c r="AI162" i="1"/>
  <c r="AI119" i="1"/>
  <c r="AI118" i="1" s="1"/>
  <c r="AI104" i="1"/>
  <c r="AI96" i="1"/>
  <c r="AI92" i="1"/>
  <c r="AI81" i="1"/>
  <c r="AI77" i="1"/>
  <c r="AI70" i="1"/>
  <c r="AI188" i="1"/>
  <c r="AI169" i="1"/>
  <c r="AI155" i="1"/>
  <c r="AI140" i="1"/>
  <c r="AI127" i="1"/>
  <c r="AI116" i="1"/>
  <c r="AI82" i="1"/>
  <c r="AI186" i="1"/>
  <c r="AI185" i="1" s="1"/>
  <c r="AI182" i="1"/>
  <c r="AI171" i="1"/>
  <c r="AI153" i="1"/>
  <c r="AI152" i="1" s="1"/>
  <c r="AI149" i="1"/>
  <c r="AI138" i="1"/>
  <c r="AI130" i="1"/>
  <c r="AI128" i="1"/>
  <c r="AI126" i="1"/>
  <c r="AI114" i="1"/>
  <c r="AI110" i="1"/>
  <c r="AI107" i="1"/>
  <c r="AI103" i="1"/>
  <c r="AI100" i="1"/>
  <c r="AI99" i="1" s="1"/>
  <c r="AI88" i="1"/>
  <c r="AI80" i="1"/>
  <c r="AI76" i="1"/>
  <c r="AI73" i="1"/>
  <c r="AI69" i="1"/>
  <c r="AI195" i="1"/>
  <c r="AI172" i="1"/>
  <c r="AI160" i="1"/>
  <c r="AI150" i="1"/>
  <c r="AI139" i="1"/>
  <c r="AI115" i="1"/>
  <c r="AI94" i="1"/>
  <c r="AI74" i="1"/>
  <c r="AI67" i="1"/>
  <c r="AI66" i="1" s="1"/>
  <c r="AI180" i="1"/>
  <c r="AI173" i="1"/>
  <c r="AI147" i="1"/>
  <c r="AI143" i="1"/>
  <c r="AI136" i="1"/>
  <c r="AI129" i="1"/>
  <c r="AI105" i="1"/>
  <c r="AI86" i="1"/>
  <c r="AI85" i="1" s="1"/>
  <c r="AI71" i="1"/>
  <c r="E201" i="22"/>
  <c r="G185" i="22"/>
  <c r="H185" i="22" s="1"/>
  <c r="AI37" i="1"/>
  <c r="AI53" i="1"/>
  <c r="AI52" i="1" s="1"/>
  <c r="A1" i="33"/>
  <c r="AI154" i="1" l="1"/>
  <c r="AI187" i="1"/>
  <c r="AI87" i="1"/>
  <c r="AI125" i="1"/>
  <c r="AI158" i="1"/>
  <c r="AI191" i="1"/>
  <c r="AI91" i="1"/>
  <c r="AI120" i="1"/>
  <c r="AI179" i="1"/>
  <c r="AI142" i="1"/>
  <c r="J185" i="22"/>
  <c r="C174" i="22" s="1"/>
  <c r="G201" i="22"/>
  <c r="AI101" i="1"/>
  <c r="AI112" i="1"/>
  <c r="AI135" i="1"/>
  <c r="AI75" i="1"/>
  <c r="AI175" i="1"/>
  <c r="AI108" i="1"/>
  <c r="AI79" i="1"/>
  <c r="AI146" i="1"/>
  <c r="AI68" i="1"/>
  <c r="AI168" i="1"/>
  <c r="E219" i="22"/>
  <c r="D9" i="30"/>
  <c r="D7" i="31" s="1"/>
  <c r="AI165" i="1" l="1"/>
  <c r="AO165" i="1" s="1"/>
  <c r="D18" i="31" s="1"/>
  <c r="D232" i="22"/>
  <c r="AI132" i="1"/>
  <c r="AI65" i="1"/>
  <c r="AO65" i="1" s="1"/>
  <c r="AI98" i="1"/>
  <c r="H219" i="22"/>
  <c r="D70" i="33"/>
  <c r="E21" i="30" l="1"/>
  <c r="P22" i="31"/>
  <c r="E205" i="1"/>
  <c r="D15" i="31"/>
  <c r="E206" i="1"/>
  <c r="AO98" i="1"/>
  <c r="D16" i="31" s="1"/>
  <c r="E207" i="1"/>
  <c r="AO132" i="1"/>
  <c r="D17" i="31" s="1"/>
  <c r="E208" i="1"/>
  <c r="G245" i="22"/>
  <c r="J219" i="22"/>
  <c r="C208" i="22" s="1"/>
  <c r="AO37" i="1"/>
  <c r="C80" i="22"/>
  <c r="B188" i="22"/>
  <c r="B204" i="22" s="1"/>
  <c r="E20" i="30" l="1"/>
  <c r="E18" i="30"/>
  <c r="E19" i="30"/>
  <c r="AO208" i="1"/>
  <c r="AB37" i="1"/>
  <c r="K219" i="22" l="1"/>
  <c r="E245" i="22"/>
  <c r="AW200" i="1"/>
  <c r="AB63" i="1"/>
  <c r="AB61" i="1"/>
  <c r="AI63" i="1" l="1"/>
  <c r="AO63" i="1" s="1"/>
  <c r="AI61" i="1"/>
  <c r="AO61" i="1" s="1"/>
  <c r="AO206" i="1"/>
  <c r="C190" i="22"/>
  <c r="F65" i="22" l="1"/>
  <c r="F128" i="22"/>
  <c r="B75" i="22"/>
  <c r="E65" i="22"/>
  <c r="D65" i="22"/>
  <c r="C65" i="22"/>
  <c r="B65" i="22"/>
  <c r="AO56" i="1" l="1"/>
  <c r="C128" i="22"/>
  <c r="C145" i="22" s="1"/>
  <c r="C81" i="22"/>
  <c r="C98" i="22" s="1"/>
  <c r="C113" i="22" s="1"/>
  <c r="B52" i="22"/>
  <c r="B81" i="22"/>
  <c r="B98" i="22" s="1"/>
  <c r="B113" i="22" s="1"/>
  <c r="B62" i="22"/>
  <c r="B91" i="22"/>
  <c r="E128" i="22"/>
  <c r="E145" i="22" s="1"/>
  <c r="E81" i="22"/>
  <c r="E98" i="22" s="1"/>
  <c r="E113" i="22" s="1"/>
  <c r="D128" i="22"/>
  <c r="D145" i="22" s="1"/>
  <c r="D81" i="22"/>
  <c r="D98" i="22" s="1"/>
  <c r="D113" i="22" s="1"/>
  <c r="AI48" i="1"/>
  <c r="D159" i="22" l="1"/>
  <c r="D175" i="22" s="1"/>
  <c r="D191" i="22" s="1"/>
  <c r="D209" i="22" s="1"/>
  <c r="C159" i="22"/>
  <c r="C175" i="22" s="1"/>
  <c r="C191" i="22" s="1"/>
  <c r="C209" i="22" s="1"/>
  <c r="B159" i="22"/>
  <c r="B175" i="22" s="1"/>
  <c r="B191" i="22" s="1"/>
  <c r="B209" i="22" s="1"/>
  <c r="AB48" i="1" l="1"/>
  <c r="AO48" i="1"/>
  <c r="E175" i="22"/>
  <c r="E191" i="22" s="1"/>
  <c r="E209" i="22" s="1"/>
  <c r="AO204" i="1" l="1"/>
  <c r="AW201" i="1"/>
  <c r="D9" i="27"/>
  <c r="C9" i="27"/>
  <c r="AI41" i="1"/>
  <c r="AB62" i="1"/>
  <c r="AB59" i="1"/>
  <c r="AI60" i="1"/>
  <c r="AB60" i="1"/>
  <c r="AI59" i="1"/>
  <c r="AI55" i="1"/>
  <c r="AI54" i="1" s="1"/>
  <c r="AF54" i="1"/>
  <c r="AB31" i="1"/>
  <c r="F11" i="20"/>
  <c r="G11" i="20" s="1"/>
  <c r="C15" i="20"/>
  <c r="H14" i="20"/>
  <c r="F14" i="20"/>
  <c r="G14" i="20"/>
  <c r="I14" i="20" s="1"/>
  <c r="E14" i="20"/>
  <c r="H13" i="20"/>
  <c r="F13" i="20"/>
  <c r="G13" i="20" s="1"/>
  <c r="E13" i="20"/>
  <c r="H12" i="20"/>
  <c r="F12" i="20"/>
  <c r="G12" i="20" s="1"/>
  <c r="I12" i="20" s="1"/>
  <c r="E12" i="20"/>
  <c r="H11" i="20"/>
  <c r="H15" i="20" s="1"/>
  <c r="AF42" i="1"/>
  <c r="AB42" i="1"/>
  <c r="AB30" i="1"/>
  <c r="AB35" i="1"/>
  <c r="AB46" i="1"/>
  <c r="AB50" i="1"/>
  <c r="AB52" i="1"/>
  <c r="AF46" i="1"/>
  <c r="AF35" i="1"/>
  <c r="AF30" i="1"/>
  <c r="AI36" i="1"/>
  <c r="AI44" i="1"/>
  <c r="AI38" i="1"/>
  <c r="AI49" i="1"/>
  <c r="AI43" i="1"/>
  <c r="AI39" i="1"/>
  <c r="AI34" i="1"/>
  <c r="AI33" i="1" s="1"/>
  <c r="AI47" i="1"/>
  <c r="AI40" i="1"/>
  <c r="F15" i="20"/>
  <c r="AB44" i="1"/>
  <c r="AI62" i="1" l="1"/>
  <c r="AO62" i="1" s="1"/>
  <c r="AI35" i="1"/>
  <c r="AI50" i="1"/>
  <c r="AO50" i="1" s="1"/>
  <c r="AI42" i="1"/>
  <c r="AO60" i="1"/>
  <c r="E15" i="20"/>
  <c r="I13" i="20"/>
  <c r="I11" i="20"/>
  <c r="G15" i="20"/>
  <c r="AI31" i="1"/>
  <c r="AO44" i="1"/>
  <c r="AI58" i="1" l="1"/>
  <c r="AI46" i="1"/>
  <c r="AI30" i="1"/>
  <c r="E203" i="1" s="1"/>
  <c r="AO202" i="1" s="1"/>
  <c r="D13" i="31" s="1"/>
  <c r="E16" i="30" s="1"/>
  <c r="AO59" i="1"/>
  <c r="I15" i="20"/>
  <c r="C7" i="20" s="1"/>
  <c r="AI32" i="1" l="1"/>
  <c r="E12" i="27"/>
  <c r="C12" i="27" s="1"/>
  <c r="AO58" i="1"/>
  <c r="AI197" i="1" l="1"/>
  <c r="AO32" i="1"/>
  <c r="D14" i="31" s="1"/>
  <c r="E204" i="1"/>
  <c r="D12" i="27"/>
  <c r="AB49" i="1"/>
  <c r="AO49" i="1"/>
  <c r="L22" i="31" l="1"/>
  <c r="N22" i="31"/>
  <c r="J22" i="31"/>
  <c r="E17" i="30"/>
  <c r="F22" i="31"/>
  <c r="H22" i="31"/>
  <c r="E13" i="27"/>
  <c r="C13" i="27" s="1"/>
  <c r="G22" i="31" l="1"/>
  <c r="I22" i="31" s="1"/>
  <c r="D13" i="27"/>
  <c r="K22" i="31" l="1"/>
  <c r="M22" i="31" s="1"/>
  <c r="O22" i="31" s="1"/>
  <c r="Q22" i="31" s="1"/>
  <c r="E5" i="22"/>
  <c r="C33" i="22" s="1"/>
  <c r="AB53" i="1"/>
  <c r="AB38" i="1" l="1"/>
  <c r="C35" i="22"/>
  <c r="C51" i="22" s="1"/>
  <c r="AO38" i="1"/>
  <c r="AB40" i="1"/>
  <c r="AO40" i="1"/>
  <c r="AB43" i="1"/>
  <c r="AB36" i="1"/>
  <c r="AO36" i="1" l="1"/>
  <c r="AO42" i="1"/>
  <c r="AO43" i="1"/>
  <c r="AB34" i="1"/>
  <c r="AB47" i="1"/>
  <c r="AO47" i="1" l="1"/>
  <c r="AO34" i="1"/>
  <c r="AB55" i="1"/>
  <c r="C112" i="22"/>
  <c r="AO46" i="1" l="1"/>
  <c r="E10" i="27"/>
  <c r="C10" i="27" s="1"/>
  <c r="AO53" i="1"/>
  <c r="AB41" i="1"/>
  <c r="AB39" i="1"/>
  <c r="AB197" i="1" l="1"/>
  <c r="AO39" i="1"/>
  <c r="AO54" i="1"/>
  <c r="AO55" i="1"/>
  <c r="AO52" i="1"/>
  <c r="D10" i="27"/>
  <c r="E11" i="27" l="1"/>
  <c r="E14" i="27" s="1"/>
  <c r="AO35" i="1"/>
  <c r="AO203" i="1" l="1"/>
  <c r="E23" i="30" s="1"/>
  <c r="E209" i="1"/>
  <c r="AO18" i="1" s="1"/>
  <c r="AO30" i="1"/>
  <c r="D11" i="27"/>
  <c r="C11" i="27"/>
  <c r="F27" i="30" l="1"/>
  <c r="H8" i="30"/>
  <c r="D22" i="31"/>
  <c r="E14" i="31" l="1"/>
  <c r="P21" i="31"/>
  <c r="N21" i="31"/>
  <c r="J21" i="31"/>
  <c r="L21" i="31"/>
  <c r="F21" i="31"/>
  <c r="G21" i="31" s="1"/>
  <c r="H21" i="31"/>
  <c r="I21" i="31"/>
  <c r="E13" i="31"/>
  <c r="E18" i="31"/>
  <c r="E16" i="31"/>
  <c r="E17" i="31"/>
  <c r="E15" i="31"/>
  <c r="L23" i="30"/>
  <c r="E25" i="31"/>
  <c r="D24" i="31"/>
  <c r="E24" i="31" s="1"/>
  <c r="F21" i="30" l="1"/>
  <c r="G21" i="30" s="1"/>
  <c r="F18" i="30"/>
  <c r="G18" i="30" s="1"/>
  <c r="J25" i="31"/>
  <c r="F20" i="30"/>
  <c r="G20" i="30" s="1"/>
  <c r="F19" i="30"/>
  <c r="G19" i="30" s="1"/>
  <c r="F16" i="30"/>
  <c r="G16" i="30" s="1"/>
  <c r="F17" i="30"/>
  <c r="G17" i="30" s="1"/>
  <c r="F25" i="31"/>
  <c r="H25" i="31"/>
  <c r="J24" i="31"/>
  <c r="F24" i="31"/>
  <c r="H24" i="31"/>
  <c r="K21" i="31"/>
  <c r="M21" i="31" s="1"/>
  <c r="O21" i="31" s="1"/>
  <c r="Q21" i="31" s="1"/>
  <c r="E22" i="31"/>
  <c r="G24" i="31" l="1"/>
  <c r="F23" i="30"/>
  <c r="F24" i="30" s="1"/>
  <c r="AR55" i="1" s="1"/>
  <c r="I25" i="31"/>
  <c r="K24" i="31"/>
  <c r="K25" i="31"/>
  <c r="G23" i="30"/>
  <c r="I24" i="31"/>
  <c r="G25" i="31"/>
  <c r="P24" i="31" l="1"/>
  <c r="L24" i="31"/>
  <c r="N24" i="31"/>
  <c r="P25" i="31"/>
  <c r="L25" i="31"/>
  <c r="N25" i="31"/>
  <c r="H23" i="30"/>
  <c r="G24" i="30"/>
  <c r="Q24" i="31" l="1"/>
  <c r="M25" i="31"/>
  <c r="Q25" i="31"/>
  <c r="M24" i="31"/>
  <c r="O25" i="31"/>
  <c r="O24" i="31"/>
</calcChain>
</file>

<file path=xl/sharedStrings.xml><?xml version="1.0" encoding="utf-8"?>
<sst xmlns="http://schemas.openxmlformats.org/spreadsheetml/2006/main" count="1356" uniqueCount="461">
  <si>
    <t>ITEM</t>
  </si>
  <si>
    <t>UNITÁRIO</t>
  </si>
  <si>
    <t>TOTAL</t>
  </si>
  <si>
    <t>1.1</t>
  </si>
  <si>
    <t>3.1</t>
  </si>
  <si>
    <t>4.1</t>
  </si>
  <si>
    <t>RELAÇÃO DAS VIAS A SEREM PAVIMENTADAS</t>
  </si>
  <si>
    <t>VIAS URBANAS</t>
  </si>
  <si>
    <t>COMP.(m)</t>
  </si>
  <si>
    <t>LARG.(m)</t>
  </si>
  <si>
    <t>SINAPI</t>
  </si>
  <si>
    <t>m</t>
  </si>
  <si>
    <t>m2</t>
  </si>
  <si>
    <t>74209/001</t>
  </si>
  <si>
    <t>74154/001</t>
  </si>
  <si>
    <t xml:space="preserve">ORÇAMENTO DISCRIMINATIVO </t>
  </si>
  <si>
    <t>Setor Público - REPASSE</t>
  </si>
  <si>
    <t>Proponente</t>
  </si>
  <si>
    <t>Empreendimento ( Nome/Apelido)</t>
  </si>
  <si>
    <t>Município</t>
  </si>
  <si>
    <t>UF</t>
  </si>
  <si>
    <t>MG</t>
  </si>
  <si>
    <t>Programa</t>
  </si>
  <si>
    <t>Gestor (Ministério)</t>
  </si>
  <si>
    <t>Data-Base (mês de referência)</t>
  </si>
  <si>
    <t>Regime de execução das obras:</t>
  </si>
  <si>
    <t>Composição do BDI sugerida</t>
  </si>
  <si>
    <t>Intervalos admissíveis sem justificativa</t>
  </si>
  <si>
    <t>Composição de BDI Adotada</t>
  </si>
  <si>
    <t>Garantia (G)</t>
  </si>
  <si>
    <t xml:space="preserve">De </t>
  </si>
  <si>
    <t>até</t>
  </si>
  <si>
    <t xml:space="preserve">  Garantia:</t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</si>
  <si>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</si>
  <si>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</si>
  <si>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</si>
  <si>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</si>
  <si>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</si>
  <si>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</si>
  <si>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</si>
  <si>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</si>
  <si>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</si>
  <si>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</si>
  <si>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>DESCRIÇÃO DOS SERVIÇOS</t>
  </si>
  <si>
    <t xml:space="preserve">UN </t>
  </si>
  <si>
    <t>QUANT</t>
  </si>
  <si>
    <t>VALORES (R$)</t>
  </si>
  <si>
    <t>CÓDIGO</t>
  </si>
  <si>
    <t>FONTE</t>
  </si>
  <si>
    <t>CUSTO</t>
  </si>
  <si>
    <t>PREÇO</t>
  </si>
  <si>
    <t>TOTAL ITEM</t>
  </si>
  <si>
    <t>1.</t>
  </si>
  <si>
    <t>m3</t>
  </si>
  <si>
    <t>4</t>
  </si>
  <si>
    <t>Meio Fio</t>
  </si>
  <si>
    <t>5</t>
  </si>
  <si>
    <t xml:space="preserve">                      Declaro para os devidos fins que os itens apresentados neste Orçamento Discriminativo estão com os quantitativos compatíveis com os projetos / especificações técnicas que compõem a proposta do referido Contrato de Repasse e os custos unitários previstos são iguais ou inferiores à mediana do SINAPI atendendo, portanto, à Lei de Diretrizes Orçamentárias - LDO em vigor. </t>
  </si>
  <si>
    <t>Responsável Técnico:</t>
  </si>
  <si>
    <t>ÁREA DO PAVIMENTO     (m2)</t>
  </si>
  <si>
    <t>SARJETA            (m)</t>
  </si>
  <si>
    <t>MEIO-FIO     (m)</t>
  </si>
  <si>
    <t>72961</t>
  </si>
  <si>
    <t>m3xkm</t>
  </si>
  <si>
    <t>Imprimação</t>
  </si>
  <si>
    <t>TxKm</t>
  </si>
  <si>
    <t>Prefeito Municipal:</t>
  </si>
  <si>
    <t>PAVIMENTAÇÃO EM PMF</t>
  </si>
  <si>
    <t>Calçada</t>
  </si>
  <si>
    <t>78472</t>
  </si>
  <si>
    <t>PREFEITURA MUNICIPAL DE URUANA DE MINAS</t>
  </si>
  <si>
    <t>PREFEITURA MUNICIPAL DE URUANA DE MINAS/MG</t>
  </si>
  <si>
    <r>
      <t xml:space="preserve">MUNICÍPIO:  </t>
    </r>
    <r>
      <rPr>
        <b/>
        <sz val="10"/>
        <rFont val="Arial"/>
        <family val="2"/>
      </rPr>
      <t xml:space="preserve"> URUANA-MG</t>
    </r>
  </si>
  <si>
    <t>ÁREA TOTAL EM M2:</t>
  </si>
  <si>
    <t>ÁREA DE SARJETA   (M2)</t>
  </si>
  <si>
    <t>ÁREA DE CALÇAMENTO(M2)</t>
  </si>
  <si>
    <t>0,60 M</t>
  </si>
  <si>
    <t>Pré Misturado à Frio</t>
  </si>
  <si>
    <t>URUANA</t>
  </si>
  <si>
    <t>Rua Jacinto Aguiar</t>
  </si>
  <si>
    <t>Rua Manoel Carlos P. Mota</t>
  </si>
  <si>
    <t>Rua Antônio Alves de Almeida</t>
  </si>
  <si>
    <t>Rua D</t>
  </si>
  <si>
    <t>MEMÓRIA DE CÁLCULO</t>
  </si>
  <si>
    <t>01 - SERVIÇOS PRELIMINARES</t>
  </si>
  <si>
    <t>1.1 - Fornecimento e colocação de Placa de Obra, conforme modelo estabelecido.</t>
  </si>
  <si>
    <t>Largura:  3,00 m</t>
  </si>
  <si>
    <t>Comprimento: 1,50m</t>
  </si>
  <si>
    <t>Área total: =(3,00*1,50) = 4,50 m²</t>
  </si>
  <si>
    <t>m²</t>
  </si>
  <si>
    <t>1.2 - Serviços Topograficos</t>
  </si>
  <si>
    <t>Vias Urbanas</t>
  </si>
  <si>
    <t>Comprimento (m)</t>
  </si>
  <si>
    <t>Largura (m)</t>
  </si>
  <si>
    <t xml:space="preserve">TOTAL </t>
  </si>
  <si>
    <t>2 - SUB-LEITO E BASE</t>
  </si>
  <si>
    <t>m³</t>
  </si>
  <si>
    <t>2.2 - Transporte de material removido dmt 1,0 km</t>
  </si>
  <si>
    <t>Distância de Transporte: 1,00 Km</t>
  </si>
  <si>
    <t>m³xkm</t>
  </si>
  <si>
    <t>2.3 - Regularização e compactação do sub-leito</t>
  </si>
  <si>
    <t>2.6 - Aquisição de cascalho para base do pavimento.</t>
  </si>
  <si>
    <t xml:space="preserve">3 - IMPRIMAÇÃO </t>
  </si>
  <si>
    <t>3.1- Imprimação com CM - 30</t>
  </si>
  <si>
    <t>3.2 - Transporte do material betuminoso</t>
  </si>
  <si>
    <t>Txkm</t>
  </si>
  <si>
    <t>4.1 -  Pintura de Ligação com RR-1C</t>
  </si>
  <si>
    <t>Desconto</t>
  </si>
  <si>
    <t>ENGENHEIRO CIVIL</t>
  </si>
  <si>
    <t>Placa de Obra em chapa de aço galvanizado,  - 3,0 x1,5m</t>
  </si>
  <si>
    <t>Gestão  da Política de Desenvolvimento</t>
  </si>
  <si>
    <t>MCIDADES</t>
  </si>
  <si>
    <t>SERVIÇOS</t>
  </si>
  <si>
    <t>TOTAL GERAL</t>
  </si>
  <si>
    <t>MEIO FIO</t>
  </si>
  <si>
    <t>Total</t>
  </si>
  <si>
    <t>ESTADO DE MINAS GERAIS</t>
  </si>
  <si>
    <t>PLANO DE APLICAÇÃO</t>
  </si>
  <si>
    <t>NATUREZA DA DESPESA</t>
  </si>
  <si>
    <t>CONCEDENTE (MCIDADES) (em R$)</t>
  </si>
  <si>
    <t>PROPONENTE (Contrapartida) (em R$)</t>
  </si>
  <si>
    <t>TOTAL (MCIDADES + Contrapartida)           (em R$)</t>
  </si>
  <si>
    <t>Código</t>
  </si>
  <si>
    <t>Especificação</t>
  </si>
  <si>
    <t>4.4.40.42</t>
  </si>
  <si>
    <t>TRANSFERENCIA A MUN/INV</t>
  </si>
  <si>
    <t>1.0</t>
  </si>
  <si>
    <t>PAVIMENTAÇÃO</t>
  </si>
  <si>
    <t>2.0</t>
  </si>
  <si>
    <t>TOTAL DO PLANO DE APLICAÇÃO (em R$)</t>
  </si>
  <si>
    <t>CALÇADAS</t>
  </si>
  <si>
    <t>Sinalização</t>
  </si>
  <si>
    <t>73916/002</t>
  </si>
  <si>
    <t>und</t>
  </si>
  <si>
    <t>7</t>
  </si>
  <si>
    <t>7.3</t>
  </si>
  <si>
    <t>72840</t>
  </si>
  <si>
    <t>7 - SINALIZAÇÃO HORIZONTAL E VERTICAL</t>
  </si>
  <si>
    <t xml:space="preserve">7.1 - Sinaliçazão horizontal com tinta retrorrefletiva </t>
  </si>
  <si>
    <t>7.3 - Placa para identificação de Rua (45 x 25cm)</t>
  </si>
  <si>
    <t>SINALIZAÇÃO</t>
  </si>
  <si>
    <t>CONTROLE TECNOLÓGICO</t>
  </si>
  <si>
    <t>3.0</t>
  </si>
  <si>
    <t>4.0</t>
  </si>
  <si>
    <t>5.0</t>
  </si>
  <si>
    <t>BDI Proposto Com Encargos Sociais Desonerados:</t>
  </si>
  <si>
    <t>SICRO 2</t>
  </si>
  <si>
    <t>URUANA DE MINAS - MG, 18 DE NOVEMBRO DE 2013.</t>
  </si>
  <si>
    <t xml:space="preserve">Pavimentação Asfáltica em CBUQ </t>
  </si>
  <si>
    <t>Pavimentação (Capa CBUQ)</t>
  </si>
  <si>
    <t>72943</t>
  </si>
  <si>
    <t>4 S 06 203 01</t>
  </si>
  <si>
    <t>txkm</t>
  </si>
  <si>
    <t xml:space="preserve">Àrea Total : </t>
  </si>
  <si>
    <t>OBRA: PAVIMENTAÇÃO ASFÁLTICA EM CBUQ</t>
  </si>
  <si>
    <t xml:space="preserve"> m²</t>
  </si>
  <si>
    <t xml:space="preserve">Área:  </t>
  </si>
  <si>
    <t>Área  Bruta    (m²)</t>
  </si>
  <si>
    <t>4.2- Transporte do material betuminoso</t>
  </si>
  <si>
    <t xml:space="preserve">4 - Pavimentação </t>
  </si>
  <si>
    <t>T</t>
  </si>
  <si>
    <t>tXkm</t>
  </si>
  <si>
    <t>Obs</t>
  </si>
  <si>
    <t>OBS</t>
  </si>
  <si>
    <t>OBRA:</t>
  </si>
  <si>
    <t>RAMPA DE PNE</t>
  </si>
  <si>
    <t>Serviço:</t>
  </si>
  <si>
    <t xml:space="preserve">RAMPA TIPO D </t>
  </si>
  <si>
    <t>unid</t>
  </si>
  <si>
    <t>Referência</t>
  </si>
  <si>
    <t>Sérviço</t>
  </si>
  <si>
    <t>Und.</t>
  </si>
  <si>
    <t>Quant</t>
  </si>
  <si>
    <t>Unitário</t>
  </si>
  <si>
    <t>Sub-Total</t>
  </si>
  <si>
    <t>PINTURA ACRÍLICA SOBRE PISOS CIMENTADOS</t>
  </si>
  <si>
    <t xml:space="preserve">Custo Direto </t>
  </si>
  <si>
    <t xml:space="preserve">Preço Unitário Total </t>
  </si>
  <si>
    <t xml:space="preserve">suportes </t>
  </si>
  <si>
    <t xml:space="preserve">4 S 06 203 01 </t>
  </si>
  <si>
    <t>4 S 06 202 11</t>
  </si>
  <si>
    <t>SÉRGIO RENATO SILVA DE SÁ</t>
  </si>
  <si>
    <t>CREA 108.0660/D - MG</t>
  </si>
  <si>
    <t>QUADRO DE COMPOSIÇÃO DO INVESTIMENTO</t>
  </si>
  <si>
    <t>1 - IDENTIFICAÇÃO</t>
  </si>
  <si>
    <t>2 - COMPOSIÇÃO DO INVESTIMENTO</t>
  </si>
  <si>
    <t>DISCRIMINAÇÃO DOS SERVIÇOS</t>
  </si>
  <si>
    <t>CONTRAPARTIDA</t>
  </si>
  <si>
    <t>REPASSE (OGU)</t>
  </si>
  <si>
    <t>REGIME</t>
  </si>
  <si>
    <t>FORMA</t>
  </si>
  <si>
    <t>EG</t>
  </si>
  <si>
    <t>RF</t>
  </si>
  <si>
    <t>PERCENTUAL DE PARTICIPAÇÃO</t>
  </si>
  <si>
    <t>OBSERVAÇÃO:</t>
  </si>
  <si>
    <t>REGIME DE EXECUÇÃO:</t>
  </si>
  <si>
    <t>Indicar (AD) para obras por administração direta e (EG) para obras por empreitada global/preço unitária.</t>
  </si>
  <si>
    <t xml:space="preserve">FORMA DA CONTRAPARTIDA:  </t>
  </si>
  <si>
    <t>Indicar (OS) para contrapartida em obras/serviços e (RF) para contapartida em recursos financeiro.</t>
  </si>
  <si>
    <t>Município/UF:</t>
  </si>
  <si>
    <t>VALOR OBRA</t>
  </si>
  <si>
    <t>VALOR DA OBRA</t>
  </si>
  <si>
    <t>CRONOGRAMA FÍSICO-FINANCEIRO</t>
  </si>
  <si>
    <t>Município/MG:</t>
  </si>
  <si>
    <t>DATA :</t>
  </si>
  <si>
    <t>SERVIÇOS A EXECUTAR</t>
  </si>
  <si>
    <t xml:space="preserve">DISCRIMINAÇÃO  </t>
  </si>
  <si>
    <t xml:space="preserve">VALOR DOS  </t>
  </si>
  <si>
    <t>PESO</t>
  </si>
  <si>
    <t>MÊS -01</t>
  </si>
  <si>
    <t>MÊS 02</t>
  </si>
  <si>
    <t>MÊS 03</t>
  </si>
  <si>
    <t>DE SERVIÇOS</t>
  </si>
  <si>
    <t>%</t>
  </si>
  <si>
    <t>SIMPL.%</t>
  </si>
  <si>
    <t>ACUM. %</t>
  </si>
  <si>
    <t>TOTAL EM PERCENTUAL</t>
  </si>
  <si>
    <t>TOTAL EM REAIS</t>
  </si>
  <si>
    <t>REPASSE</t>
  </si>
  <si>
    <t>Responsável Técnico - CREA   - SÉRGIO RENATO SILVA DE SÁ -  CREA Nº 108.066/D-MG</t>
  </si>
  <si>
    <t>CONTRATO :</t>
  </si>
  <si>
    <t>CONTRATO</t>
  </si>
  <si>
    <t>3) Britador (pedra britada)</t>
  </si>
  <si>
    <t>LOCAL DA JAZIDA</t>
  </si>
  <si>
    <t>RIO</t>
  </si>
  <si>
    <t>CIDADE</t>
  </si>
  <si>
    <t>LEGENDA</t>
  </si>
  <si>
    <t>2) Jazida de areia</t>
  </si>
  <si>
    <t>SÉRGIO RENATO SILVA DE SÁ CREA MG 108.066/D</t>
  </si>
  <si>
    <t>4743</t>
  </si>
  <si>
    <t xml:space="preserve"> Conforme legislação específica  (ISSQN) 5%</t>
  </si>
  <si>
    <t>acres 2%</t>
  </si>
  <si>
    <t xml:space="preserve">PREFEITO MUNICIPAL </t>
  </si>
  <si>
    <t>1) Jazida de cascalho para base</t>
  </si>
  <si>
    <t/>
  </si>
  <si>
    <t>4) Material Betuminoso (RR2C, CM30)</t>
  </si>
  <si>
    <t>5) Material Betuminoso  CAP 50</t>
  </si>
  <si>
    <t>6) Revestimento CBUQ</t>
  </si>
  <si>
    <t>ENGENHERIO CIVIL : SÉRGIO RENATO SILVA DE SÁ</t>
  </si>
  <si>
    <t>CREA MG 108.066/D</t>
  </si>
  <si>
    <t>Espessura = 3 cm</t>
  </si>
  <si>
    <t xml:space="preserve"> TOTAL</t>
  </si>
  <si>
    <t>Comprimento x2 (m)</t>
  </si>
  <si>
    <t>74245/001</t>
  </si>
  <si>
    <t xml:space="preserve">Sub Leito e base </t>
  </si>
  <si>
    <t>1.2.1</t>
  </si>
  <si>
    <t>2.1.1</t>
  </si>
  <si>
    <t>2.3.1</t>
  </si>
  <si>
    <t>2.4.1</t>
  </si>
  <si>
    <t>2.5.1</t>
  </si>
  <si>
    <t>2.6.1</t>
  </si>
  <si>
    <t>3.2.1</t>
  </si>
  <si>
    <t>5.1.1</t>
  </si>
  <si>
    <t>6.1.1</t>
  </si>
  <si>
    <t>6.2.1</t>
  </si>
  <si>
    <t>7.1.1</t>
  </si>
  <si>
    <t>7.2.1</t>
  </si>
  <si>
    <t>7.4.1</t>
  </si>
  <si>
    <t>7.5.1</t>
  </si>
  <si>
    <t>94267</t>
  </si>
  <si>
    <t xml:space="preserve"> BDI = (1+AC)x(1+DF)x(1+(G+R))x(1+L))  -1
                                  1-T
  Observação:
  i)   Composição do BDI, intervalos admissíveis e Fórmula de cálculo nos termos do Acórdão 325/2007 do TCU.</t>
  </si>
  <si>
    <t>Espessura (m)</t>
  </si>
  <si>
    <t>Volume (m3)</t>
  </si>
  <si>
    <t>2.1 - Escavação e carga com trator e carregadeira (h = 15,00 cm)</t>
  </si>
  <si>
    <t>Espessura: 0,15 m</t>
  </si>
  <si>
    <t>DMT (km)</t>
  </si>
  <si>
    <t>2.21</t>
  </si>
  <si>
    <t>2.4 -  Base de solo estabilizada h 15cm sem mistura.</t>
  </si>
  <si>
    <t>DMT( km)</t>
  </si>
  <si>
    <t>Transporte  (m3xkm)</t>
  </si>
  <si>
    <t>KG</t>
  </si>
  <si>
    <t>DMT (KM)</t>
  </si>
  <si>
    <t>TransporteTXKM</t>
  </si>
  <si>
    <t>Espessura (0,03 m)</t>
  </si>
  <si>
    <t xml:space="preserve"> 6.1 Execução de calçada em concreto 1:3:5 (FCK 12 MPA) Preparo Mecânico E= 6,0cm</t>
  </si>
  <si>
    <t>7.2 - Sinalização vertical (Placa R19 Dimensão lados = 25cm)</t>
  </si>
  <si>
    <t>Área de Placa = 0,30m²/placa</t>
  </si>
  <si>
    <t xml:space="preserve">Placa </t>
  </si>
  <si>
    <t>Suportes</t>
  </si>
  <si>
    <t>Faixa  de 15x 0,10 (1,50 m2)</t>
  </si>
  <si>
    <t>Faixa de  3 x 0,40 (1,20 m2)</t>
  </si>
  <si>
    <t>Faixa letra Pare (1,243 m2)</t>
  </si>
  <si>
    <t>Total (m2)</t>
  </si>
  <si>
    <t>RESUMO</t>
  </si>
  <si>
    <t>PLACA DE OBRA</t>
  </si>
  <si>
    <t>PLACA</t>
  </si>
  <si>
    <t>Serviços Complementar</t>
  </si>
  <si>
    <t>Serviço  Preliminar</t>
  </si>
  <si>
    <t xml:space="preserve">Nº de Placas </t>
  </si>
  <si>
    <t>Área</t>
  </si>
  <si>
    <t>4.3 Construção de pavimento de concreto usinado aquente (CBUQ),camada de rolamento ,com espessura de 3,0 cm exclusive transporte AF_03/2017</t>
  </si>
  <si>
    <t>4.2</t>
  </si>
  <si>
    <t>4.3</t>
  </si>
  <si>
    <t>4.4</t>
  </si>
  <si>
    <t>95990</t>
  </si>
  <si>
    <t>Fator de conversão</t>
  </si>
  <si>
    <t>Peso ( t )</t>
  </si>
  <si>
    <t>Transporte txKM</t>
  </si>
  <si>
    <t>BETIM Á LONTRA</t>
  </si>
  <si>
    <t xml:space="preserve">553,00 KM </t>
  </si>
  <si>
    <t>BETIM Á LONTRA- 553 KM</t>
  </si>
  <si>
    <t xml:space="preserve"> m3</t>
  </si>
  <si>
    <r>
      <t xml:space="preserve"> 4.4 </t>
    </r>
    <r>
      <rPr>
        <sz val="12"/>
        <rFont val="Arial"/>
        <family val="2"/>
      </rPr>
      <t>Transporte comercial com caminhão carroceria 9 T, rodovia pavimentada - DMT  125(CBUQ) Montes Claros á  Lontra</t>
    </r>
  </si>
  <si>
    <t>Dmt 125 km</t>
  </si>
  <si>
    <t>Total de Transporte =209,75t  x 125 km</t>
  </si>
  <si>
    <t>5 -1 Meio Fio com sarjeta, executado com extrusora (sarjeta 30 x 8,5 cm meio fio 13 x 22 cm )</t>
  </si>
  <si>
    <t>Área  Placa</t>
  </si>
  <si>
    <t xml:space="preserve">PREFEIRURA MUNICIPAL DE LONTRA </t>
  </si>
  <si>
    <t>PREFEITURA MUNICIPAL DE LONTRA</t>
  </si>
  <si>
    <t>MUNICIPÍO : LONTRA  / MG</t>
  </si>
  <si>
    <t>Prefeitura Municipal deLontra - MG</t>
  </si>
  <si>
    <t>Lontra</t>
  </si>
  <si>
    <t>N°846121/2017MCIDADES/CAIXA</t>
  </si>
  <si>
    <t>RUA DONA MESSIAS</t>
  </si>
  <si>
    <t>Olimpio Campos</t>
  </si>
  <si>
    <t>13/01/2018  -  Desonerada</t>
  </si>
  <si>
    <t>96388</t>
  </si>
  <si>
    <t>96401</t>
  </si>
  <si>
    <t>INSUMO</t>
  </si>
  <si>
    <t>LADRILHO HIDRAULICO, *20 X 20* CM, E= 2 CM, TATIL ALERTA OU DIRECIONAL, AMARELO</t>
  </si>
  <si>
    <t>Distância de Transporte: 8,00 Km</t>
  </si>
  <si>
    <t>OBS : JAZIDA FICA NA PROPRIEDADE  DO SENHOR MADORQUEU - TRABALHA NA DEFESA CIVIL DO MUNICIPIO.</t>
  </si>
  <si>
    <t>und  -</t>
  </si>
  <si>
    <t>72838</t>
  </si>
  <si>
    <t>Tonelada (T)= V*1,5</t>
  </si>
  <si>
    <t>94990</t>
  </si>
  <si>
    <t>COMPRIMENTO (m)</t>
  </si>
  <si>
    <t xml:space="preserve">área  (m2) </t>
  </si>
  <si>
    <t>Espesura (m)</t>
  </si>
  <si>
    <t>RUA AMAZONAS</t>
  </si>
  <si>
    <t>RUA CORONEL JOSÉ   GONÇALVES</t>
  </si>
  <si>
    <t>RUA QUATRO ( E0 - E1 )</t>
  </si>
  <si>
    <t>RUA QUATRO ( E1 - E2 )</t>
  </si>
  <si>
    <t>RUA QUATRO ( E2 - E3 )</t>
  </si>
  <si>
    <t>RUA QUATRO ( E3- E4 ) +28,12</t>
  </si>
  <si>
    <t>RUA SÃO GONÇALO -A</t>
  </si>
  <si>
    <t>RUA SÃO GONÇALO -B</t>
  </si>
  <si>
    <t>2.5-  Transporte de Material de jazidas para base com DMT igual a 8,00   km.</t>
  </si>
  <si>
    <t>Transporte Txkm)</t>
  </si>
  <si>
    <t>Total da Escavação : (66549,43 x 0,15m) :</t>
  </si>
  <si>
    <t>Área:6549,43m²</t>
  </si>
  <si>
    <t>Total de Transporte: (6549,43m² x 0,15 m x 1,0 km):</t>
  </si>
  <si>
    <t>Volume Total: 6549,43m² x 0,15m):</t>
  </si>
  <si>
    <t>Área:6549,43 m²</t>
  </si>
  <si>
    <t>Total de Transporte: (6549,43m² x 0,15mX1,5 x8,00,0km):</t>
  </si>
  <si>
    <t>Volume Total:6549,43m² x 0,15m):</t>
  </si>
  <si>
    <t>Área =6549,43m²</t>
  </si>
  <si>
    <t>Quantidade de CM30 =6549,43m² x 1,2kg/m² = 7859,32kg =  ton</t>
  </si>
  <si>
    <t>kg/ m2</t>
  </si>
  <si>
    <t>Tonelada(kg/1000)</t>
  </si>
  <si>
    <t>Total de Transporte =7,859ton x  553km :</t>
  </si>
  <si>
    <t>Área liquida</t>
  </si>
  <si>
    <t>Desconto de sarjeta -0,60 m</t>
  </si>
  <si>
    <t>Área =5941,78 m²</t>
  </si>
  <si>
    <t>Taxa/ m2 kg/m2</t>
  </si>
  <si>
    <t>Quantidade de RL2 C =5941,78m² x 0,50 kg/m² =2970,89 kg =2.971 ton</t>
  </si>
  <si>
    <t>Total de Transporte =2.971 ton x 553km :</t>
  </si>
  <si>
    <t xml:space="preserve"> V =5941,78*0,03*2,40</t>
  </si>
  <si>
    <t xml:space="preserve">Cbuq  =5941,78*0,03* 2,40 </t>
  </si>
  <si>
    <t>RUA BROOKLIM -LARG - 6,60 M  - RUA FRANCISCO SÁ  LARG 6,60 M</t>
  </si>
  <si>
    <t>RUA SÃO GONÇALO -A LARG 6,00 M -RUA SÃO GONÇALO -B LARG 6.35-</t>
  </si>
  <si>
    <t>ACRESCIMO  DE 6,60 FINAL DA RUA DONA MESSIAS</t>
  </si>
  <si>
    <t xml:space="preserve"> RUA SÃO GONÇALO -B LARG( 8.00+6,60)</t>
  </si>
  <si>
    <t>RUA CORONEL  JOSE GONÇALVES -6,60+LIMPA RODA 6,00</t>
  </si>
  <si>
    <t>Largura Média ( m)</t>
  </si>
  <si>
    <t>LARGURA MEDIAS DOIS  OS LADOS</t>
  </si>
  <si>
    <t>12/10/2018  -  Desonerada</t>
  </si>
  <si>
    <t>72882</t>
  </si>
  <si>
    <t xml:space="preserve">Locação de Obra com uso de equipamento topográfico, inclusive topógrafo e nivelador </t>
  </si>
  <si>
    <t>Escavação  e  Carga com trator e carregadeira (Mat. 1ª categoria)-h=15cm</t>
  </si>
  <si>
    <t>Transporte  comercial  caminhão carroceria 9 t, rodovia em leito natural - DMT 1,0 KM</t>
  </si>
  <si>
    <t xml:space="preserve">Regularização de sub-leito </t>
  </si>
  <si>
    <t>Execução e compactação de base ou sub base com solo predominante arenoso - exclusive escavação, carga e transporte e solo. AF_09/2017</t>
  </si>
  <si>
    <t>Transporte comercial com  caminhão  carroceria  9 t, rodovia  em leito nat- dmt 8,00 km</t>
  </si>
  <si>
    <t>Aquisição de cascalho para base de pavimento -</t>
  </si>
  <si>
    <t xml:space="preserve">Transporte comercial com caminhão carroceria 9 T, rodovia pavimentada - DMT 553    (CM- 30) KM  Betim  á Lontra </t>
  </si>
  <si>
    <t xml:space="preserve">Pintura de Ligação com material RL2 -C </t>
  </si>
  <si>
    <t xml:space="preserve">Transporte comercial com caminhão carroceria 9 T, rodovia pavimentada - DMT  553 Betim  á lontra ( RL2 -C) </t>
  </si>
  <si>
    <t xml:space="preserve">Construção de pavimento de concreto usinado aquente (CBUQ),camada de rolamento ,com espessura de 3,0 cm exclusive transporte AF_03/2017 </t>
  </si>
  <si>
    <t xml:space="preserve">Transporte comercial com caminhão carroceria 9 T, rodovia pavimentada - DMT  125 (CBUQ) Montes Claros á Lontra  </t>
  </si>
  <si>
    <t xml:space="preserve"> Meio Fio com sarjeta, executado com extrusora (sarjeta 30 x 8,5 cm meio fio 13 x 22 cm )</t>
  </si>
  <si>
    <t>Execução de passeio  (calçada) ou piso  de concreto com concreto moldado E= 6,0cm</t>
  </si>
  <si>
    <t xml:space="preserve">Sinalização horizontal com tinta retrorrefletiva a base de resina acrílica com microesferas de vidro. </t>
  </si>
  <si>
    <t xml:space="preserve">Fornecimento e implantação de placas de sinalização totalmente refletiva. </t>
  </si>
  <si>
    <t xml:space="preserve"> Suporte para placa de idetificação de ruas ou avenidas.</t>
  </si>
  <si>
    <t>PREÇO LOCAL</t>
  </si>
  <si>
    <t>Execução de imprimação com asfalto diluido CM-30. AF_09/2017</t>
  </si>
  <si>
    <t>Placa esmaltada para identificação NR Rua, dimensões 45x25cm..-</t>
  </si>
  <si>
    <t>Suporte para placa sinalização  vertical.</t>
  </si>
  <si>
    <t>RUA QUATRO E0 á  E4 +28,12</t>
  </si>
  <si>
    <t>RUA SÃO GONÇALO</t>
  </si>
  <si>
    <t>RUA QUATRO ( E0- E4 ) +28,12</t>
  </si>
  <si>
    <t>N°866623/2018MCIDADES/CAIXA</t>
  </si>
  <si>
    <t>larg 1.82</t>
  </si>
  <si>
    <t>larg 1.76</t>
  </si>
  <si>
    <t>larg 1.55</t>
  </si>
  <si>
    <t>larg 2.05</t>
  </si>
  <si>
    <t>Fixa de Pedestre  (11,04 m2)</t>
  </si>
  <si>
    <t>Nº de Placas = 10</t>
  </si>
  <si>
    <t>Área total = 0,30 x10=3,00 m²</t>
  </si>
  <si>
    <t>RUA QUATRO</t>
  </si>
  <si>
    <t xml:space="preserve">ART 14201800000004873878
</t>
  </si>
  <si>
    <t>ART ART 14201800000004873878</t>
  </si>
  <si>
    <t>CT N°N°866623/2018MCIDADES/CAIXA</t>
  </si>
  <si>
    <t>TOTAL GERAIS</t>
  </si>
  <si>
    <t>Composição de Custo - Rua Amazonas</t>
  </si>
  <si>
    <t>ART 14201800000004873878</t>
  </si>
  <si>
    <t>Composição de Custo -RUA CORONEL JOSÉ   GONÇALVES</t>
  </si>
  <si>
    <t>LARGURA DE 1,76</t>
  </si>
  <si>
    <t>Composição de Custo -RUA QUATRO ( E0 - E1 )</t>
  </si>
  <si>
    <t>LARGURA DE 0,88</t>
  </si>
  <si>
    <t>Composição de Custo -RUA QUATRO ( E1- E2 )</t>
  </si>
  <si>
    <t>LARGURA DE 0,86</t>
  </si>
  <si>
    <t>Composição de Custo -RUA QUATRO ( E2- E3)</t>
  </si>
  <si>
    <t>LARGURA DE 0,70</t>
  </si>
  <si>
    <t>Composição de Custo -RUA QUATRO ( E3- E4 ) +28,12</t>
  </si>
  <si>
    <t>LARGURA DE 1,55</t>
  </si>
  <si>
    <t>Composição de Custo -RUA DONA MESSIAS</t>
  </si>
  <si>
    <t>LARGURA DE 2,05</t>
  </si>
  <si>
    <t>Composição de Custo -RUA SÃO GONÇALO -A</t>
  </si>
  <si>
    <t>LARGURA DE 1,21</t>
  </si>
  <si>
    <t>Composição de Custo -RUA SÃO GONÇALO -B</t>
  </si>
  <si>
    <t>LARGURA DE 0,79</t>
  </si>
  <si>
    <t>6.2.2</t>
  </si>
  <si>
    <t>MÊS -04</t>
  </si>
  <si>
    <t>MÊS 05</t>
  </si>
  <si>
    <t>MÊS 06</t>
  </si>
  <si>
    <t>LONTRA</t>
  </si>
  <si>
    <t>Endereço/Bairro:VIAS DIVERSAS</t>
  </si>
  <si>
    <t>VIAS DIVERSAS</t>
  </si>
  <si>
    <t>ENG.CIVIL SÉRGIO RENATO SILVA DE SÁ</t>
  </si>
  <si>
    <t>CREA Nº 108.066/D</t>
  </si>
  <si>
    <t>LARGURA MEDIA (7.00+5.60+5.10)/3=5,90</t>
  </si>
  <si>
    <t>LARGURA MEDIA (6.20+4.90+7,50)/3=6.20</t>
  </si>
  <si>
    <t>LARGURA MEDIA (5,82+5.72+6,16+5,80)/4=5,88</t>
  </si>
  <si>
    <t>LARGURA MEDIA (5,80+5,80+5,80+6,23)/4=5,91</t>
  </si>
  <si>
    <t>LARGURA MEDIA (6.23+5.75+5.0+6,60)/4=5,90</t>
  </si>
  <si>
    <t xml:space="preserve">Pintura acrilica sobre pisos cimentados </t>
  </si>
  <si>
    <t xml:space="preserve">Ladrilho  hidraulico , *20 X 20* cm, E= 2 cm, tatilL alerta ou direcional,amarelo </t>
  </si>
  <si>
    <t xml:space="preserve"> 6.2 .1</t>
  </si>
  <si>
    <t>Largura Média</t>
  </si>
  <si>
    <t>Comprimento</t>
  </si>
  <si>
    <t>Área piso tatil do Patamaforma Principal</t>
  </si>
  <si>
    <t>1,2+1,2+1,2</t>
  </si>
  <si>
    <t>1,20*0,5 =0,60 m2</t>
  </si>
  <si>
    <t>Área de Pintura descontada  área piso tatil (m2)</t>
  </si>
  <si>
    <t>Área total  das Rampas (m2)</t>
  </si>
  <si>
    <t>larg 1,20</t>
  </si>
  <si>
    <t>1,20*0,5 =0,60 m5</t>
  </si>
  <si>
    <t xml:space="preserve">Não tem </t>
  </si>
  <si>
    <t xml:space="preserve">DEVIDO AFUNILAMENTO DA VIA OPTOU NÃO COLOCA  REBAIXAMENTO </t>
  </si>
  <si>
    <t>larg 1.20</t>
  </si>
  <si>
    <t xml:space="preserve">6.2.2 Ladrilho  hidraulico , *20 X 20* cm, E= 2 cm, tatilL alerta ou direcional,amarelo </t>
  </si>
  <si>
    <t>Área piso tatil do Patamaforma Laterais</t>
  </si>
  <si>
    <t>2*1,82*0,5=1,82 m2</t>
  </si>
  <si>
    <t>Área total Piso tatil (m2 )</t>
  </si>
  <si>
    <t>2*1,76*0,5=1,76 m2</t>
  </si>
  <si>
    <t>2*1,20*0,5=1,20 m2</t>
  </si>
  <si>
    <t>2*1,55*0,5=1,55 m2</t>
  </si>
  <si>
    <t>2*2,05*0,5=2,05m2</t>
  </si>
  <si>
    <t>2*1,20*0,5=1,20m2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</si>
</sst>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[$-416]mmmm\-yyyy;@"/>
    <numFmt numFmtId="166" formatCode="_(* #,##0.0000_);_(* \(#,##0.0000\);_(* &quot;-&quot;??_);_(@_)"/>
    <numFmt numFmtId="167" formatCode="0.00000;[Red]0.00000"/>
    <numFmt numFmtId="168" formatCode="0.00;[Red]0.00"/>
    <numFmt numFmtId="169" formatCode="0.000000"/>
    <numFmt numFmtId="170" formatCode="&quot;R$&quot;#,##0.00"/>
    <numFmt numFmtId="171" formatCode="&quot;R$&quot;#,##0.00_);\(&quot;R$&quot;#,##0.00\)"/>
    <numFmt numFmtId="172" formatCode="0.0000000000%"/>
    <numFmt numFmtId="173" formatCode="&quot;R$&quot;#,##0.0"/>
    <numFmt numFmtId="174" formatCode="0.0"/>
    <numFmt numFmtId="175" formatCode="#,##0.000"/>
    <numFmt numFmtId="176" formatCode="#,##0.0000"/>
    <numFmt numFmtId="177" formatCode="#,##0.0"/>
    <numFmt numFmtId="178" formatCode="0.000"/>
  </numFmts>
  <fonts count="4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4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3"/>
      <name val="Arial"/>
      <family val="2"/>
    </font>
    <font>
      <b/>
      <sz val="14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0"/>
      <color theme="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</font>
    <font>
      <sz val="12"/>
      <color theme="0"/>
      <name val="Arial"/>
      <family val="2"/>
    </font>
    <font>
      <sz val="9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</cellStyleXfs>
  <cellXfs count="695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2" fontId="0" fillId="0" borderId="0" xfId="0" applyNumberFormat="1"/>
    <xf numFmtId="2" fontId="2" fillId="0" borderId="0" xfId="0" applyNumberFormat="1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Continuous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9" fillId="3" borderId="8" xfId="0" applyFont="1" applyFill="1" applyBorder="1" applyAlignment="1" applyProtection="1">
      <alignment vertical="center"/>
    </xf>
    <xf numFmtId="0" fontId="9" fillId="3" borderId="9" xfId="0" applyFont="1" applyFill="1" applyBorder="1" applyAlignment="1" applyProtection="1">
      <alignment vertical="center"/>
    </xf>
    <xf numFmtId="0" fontId="9" fillId="3" borderId="10" xfId="0" applyFont="1" applyFill="1" applyBorder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12" xfId="0" applyFont="1" applyBorder="1" applyAlignment="1" applyProtection="1">
      <alignment horizontal="left" vertical="center"/>
    </xf>
    <xf numFmtId="10" fontId="9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10" fontId="9" fillId="0" borderId="13" xfId="0" applyNumberFormat="1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vertical="center"/>
    </xf>
    <xf numFmtId="0" fontId="8" fillId="3" borderId="7" xfId="0" applyFont="1" applyFill="1" applyBorder="1" applyAlignment="1" applyProtection="1">
      <alignment vertical="center"/>
    </xf>
    <xf numFmtId="0" fontId="8" fillId="3" borderId="15" xfId="0" applyFont="1" applyFill="1" applyBorder="1" applyAlignment="1" applyProtection="1">
      <alignment vertical="center"/>
    </xf>
    <xf numFmtId="0" fontId="8" fillId="3" borderId="8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8" fillId="3" borderId="6" xfId="0" applyFont="1" applyFill="1" applyBorder="1" applyAlignment="1" applyProtection="1">
      <alignment vertical="center"/>
    </xf>
    <xf numFmtId="0" fontId="8" fillId="3" borderId="9" xfId="0" applyFont="1" applyFill="1" applyBorder="1" applyAlignment="1" applyProtection="1">
      <alignment vertical="center"/>
    </xf>
    <xf numFmtId="0" fontId="8" fillId="3" borderId="16" xfId="0" applyFont="1" applyFill="1" applyBorder="1" applyAlignment="1" applyProtection="1">
      <alignment vertical="center"/>
    </xf>
    <xf numFmtId="0" fontId="8" fillId="3" borderId="10" xfId="0" applyFont="1" applyFill="1" applyBorder="1" applyAlignment="1" applyProtection="1">
      <alignment vertic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/>
    <xf numFmtId="164" fontId="9" fillId="0" borderId="0" xfId="0" applyNumberFormat="1" applyFont="1" applyAlignment="1" applyProtection="1">
      <alignment vertical="center"/>
    </xf>
    <xf numFmtId="0" fontId="3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" fillId="0" borderId="21" xfId="0" applyFont="1" applyBorder="1"/>
    <xf numFmtId="2" fontId="1" fillId="0" borderId="4" xfId="0" applyNumberFormat="1" applyFont="1" applyBorder="1"/>
    <xf numFmtId="2" fontId="1" fillId="0" borderId="2" xfId="0" applyNumberFormat="1" applyFont="1" applyBorder="1"/>
    <xf numFmtId="0" fontId="1" fillId="0" borderId="21" xfId="0" applyFont="1" applyBorder="1" applyAlignment="1">
      <alignment horizontal="center"/>
    </xf>
    <xf numFmtId="0" fontId="2" fillId="0" borderId="22" xfId="0" applyFont="1" applyBorder="1"/>
    <xf numFmtId="2" fontId="2" fillId="0" borderId="23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2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/>
    <xf numFmtId="0" fontId="13" fillId="0" borderId="0" xfId="0" applyFont="1"/>
    <xf numFmtId="2" fontId="13" fillId="0" borderId="0" xfId="0" applyNumberFormat="1" applyFont="1"/>
    <xf numFmtId="2" fontId="7" fillId="0" borderId="0" xfId="0" applyNumberFormat="1" applyFont="1"/>
    <xf numFmtId="0" fontId="13" fillId="0" borderId="0" xfId="0" applyFont="1" applyBorder="1"/>
    <xf numFmtId="4" fontId="7" fillId="0" borderId="0" xfId="0" applyNumberFormat="1" applyFont="1" applyBorder="1"/>
    <xf numFmtId="0" fontId="1" fillId="0" borderId="0" xfId="0" applyFont="1"/>
    <xf numFmtId="2" fontId="7" fillId="0" borderId="0" xfId="0" applyNumberFormat="1" applyFont="1" applyBorder="1"/>
    <xf numFmtId="0" fontId="13" fillId="0" borderId="31" xfId="0" applyFont="1" applyBorder="1"/>
    <xf numFmtId="0" fontId="12" fillId="0" borderId="0" xfId="0" applyFont="1" applyAlignment="1"/>
    <xf numFmtId="0" fontId="2" fillId="0" borderId="0" xfId="0" applyFont="1" applyAlignment="1"/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30" xfId="0" applyBorder="1"/>
    <xf numFmtId="4" fontId="0" fillId="0" borderId="24" xfId="0" applyNumberFormat="1" applyBorder="1" applyAlignment="1">
      <alignment horizontal="center"/>
    </xf>
    <xf numFmtId="4" fontId="0" fillId="0" borderId="3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0" fillId="0" borderId="0" xfId="0" applyNumberFormat="1"/>
    <xf numFmtId="0" fontId="1" fillId="0" borderId="29" xfId="0" applyFont="1" applyBorder="1" applyAlignment="1">
      <alignment horizontal="center"/>
    </xf>
    <xf numFmtId="4" fontId="2" fillId="0" borderId="37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center"/>
    </xf>
    <xf numFmtId="0" fontId="3" fillId="0" borderId="52" xfId="0" applyFont="1" applyBorder="1"/>
    <xf numFmtId="0" fontId="10" fillId="0" borderId="53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/>
    <xf numFmtId="0" fontId="10" fillId="0" borderId="56" xfId="0" applyFont="1" applyBorder="1"/>
    <xf numFmtId="0" fontId="3" fillId="0" borderId="56" xfId="0" applyFont="1" applyBorder="1"/>
    <xf numFmtId="0" fontId="10" fillId="0" borderId="57" xfId="0" applyFont="1" applyBorder="1" applyAlignment="1">
      <alignment horizontal="right"/>
    </xf>
    <xf numFmtId="0" fontId="3" fillId="0" borderId="61" xfId="0" applyFont="1" applyBorder="1" applyAlignment="1">
      <alignment horizontal="left"/>
    </xf>
    <xf numFmtId="0" fontId="3" fillId="0" borderId="61" xfId="0" applyFont="1" applyBorder="1" applyAlignment="1">
      <alignment horizontal="right"/>
    </xf>
    <xf numFmtId="0" fontId="3" fillId="0" borderId="61" xfId="0" applyFont="1" applyBorder="1" applyAlignment="1">
      <alignment wrapText="1"/>
    </xf>
    <xf numFmtId="0" fontId="3" fillId="0" borderId="61" xfId="0" applyFont="1" applyBorder="1" applyAlignment="1">
      <alignment horizontal="center"/>
    </xf>
    <xf numFmtId="167" fontId="3" fillId="0" borderId="61" xfId="0" applyNumberFormat="1" applyFont="1" applyBorder="1"/>
    <xf numFmtId="168" fontId="3" fillId="0" borderId="61" xfId="0" applyNumberFormat="1" applyFont="1" applyBorder="1"/>
    <xf numFmtId="0" fontId="3" fillId="0" borderId="61" xfId="0" applyFont="1" applyBorder="1"/>
    <xf numFmtId="168" fontId="3" fillId="0" borderId="62" xfId="0" applyNumberFormat="1" applyFont="1" applyBorder="1"/>
    <xf numFmtId="169" fontId="3" fillId="0" borderId="61" xfId="0" applyNumberFormat="1" applyFont="1" applyBorder="1"/>
    <xf numFmtId="2" fontId="3" fillId="0" borderId="61" xfId="0" applyNumberFormat="1" applyFont="1" applyBorder="1"/>
    <xf numFmtId="169" fontId="3" fillId="0" borderId="0" xfId="0" applyNumberFormat="1" applyFont="1"/>
    <xf numFmtId="2" fontId="3" fillId="0" borderId="63" xfId="0" applyNumberFormat="1" applyFont="1" applyBorder="1"/>
    <xf numFmtId="2" fontId="3" fillId="6" borderId="63" xfId="0" applyNumberFormat="1" applyFont="1" applyFill="1" applyBorder="1"/>
    <xf numFmtId="0" fontId="12" fillId="0" borderId="0" xfId="0" applyFont="1" applyBorder="1"/>
    <xf numFmtId="0" fontId="10" fillId="0" borderId="0" xfId="0" applyFont="1" applyAlignment="1"/>
    <xf numFmtId="0" fontId="16" fillId="0" borderId="0" xfId="0" applyFont="1" applyBorder="1"/>
    <xf numFmtId="0" fontId="7" fillId="0" borderId="22" xfId="0" applyFont="1" applyBorder="1"/>
    <xf numFmtId="0" fontId="7" fillId="0" borderId="23" xfId="0" applyFont="1" applyBorder="1" applyAlignment="1">
      <alignment horizontal="centerContinuous"/>
    </xf>
    <xf numFmtId="0" fontId="7" fillId="0" borderId="43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22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170" fontId="17" fillId="0" borderId="24" xfId="0" applyNumberFormat="1" applyFont="1" applyBorder="1" applyAlignment="1" applyProtection="1">
      <alignment horizontal="right"/>
      <protection locked="0"/>
    </xf>
    <xf numFmtId="49" fontId="19" fillId="3" borderId="43" xfId="0" applyNumberFormat="1" applyFont="1" applyFill="1" applyBorder="1"/>
    <xf numFmtId="0" fontId="20" fillId="3" borderId="44" xfId="0" applyFont="1" applyFill="1" applyBorder="1"/>
    <xf numFmtId="4" fontId="21" fillId="3" borderId="44" xfId="0" applyNumberFormat="1" applyFont="1" applyFill="1" applyBorder="1"/>
    <xf numFmtId="10" fontId="21" fillId="3" borderId="23" xfId="0" applyNumberFormat="1" applyFont="1" applyFill="1" applyBorder="1"/>
    <xf numFmtId="4" fontId="21" fillId="3" borderId="23" xfId="0" applyNumberFormat="1" applyFont="1" applyFill="1" applyBorder="1"/>
    <xf numFmtId="10" fontId="21" fillId="3" borderId="22" xfId="0" applyNumberFormat="1" applyFont="1" applyFill="1" applyBorder="1"/>
    <xf numFmtId="49" fontId="19" fillId="0" borderId="39" xfId="0" applyNumberFormat="1" applyFont="1" applyBorder="1"/>
    <xf numFmtId="0" fontId="20" fillId="0" borderId="0" xfId="0" applyFont="1" applyBorder="1"/>
    <xf numFmtId="4" fontId="21" fillId="8" borderId="0" xfId="0" applyNumberFormat="1" applyFont="1" applyFill="1" applyBorder="1"/>
    <xf numFmtId="10" fontId="21" fillId="8" borderId="0" xfId="0" applyNumberFormat="1" applyFont="1" applyFill="1" applyBorder="1"/>
    <xf numFmtId="10" fontId="22" fillId="8" borderId="0" xfId="0" applyNumberFormat="1" applyFont="1" applyFill="1" applyBorder="1" applyAlignment="1">
      <alignment horizontal="center"/>
    </xf>
    <xf numFmtId="170" fontId="21" fillId="8" borderId="0" xfId="0" applyNumberFormat="1" applyFont="1" applyFill="1" applyBorder="1" applyAlignment="1">
      <alignment horizontal="centerContinuous"/>
    </xf>
    <xf numFmtId="10" fontId="21" fillId="0" borderId="0" xfId="0" applyNumberFormat="1" applyFont="1" applyBorder="1" applyAlignment="1">
      <alignment horizontal="centerContinuous"/>
    </xf>
    <xf numFmtId="0" fontId="0" fillId="0" borderId="26" xfId="0" applyBorder="1"/>
    <xf numFmtId="0" fontId="21" fillId="0" borderId="0" xfId="0" applyFont="1" applyBorder="1"/>
    <xf numFmtId="0" fontId="24" fillId="0" borderId="0" xfId="0" applyFont="1" applyBorder="1"/>
    <xf numFmtId="0" fontId="17" fillId="0" borderId="0" xfId="0" applyFont="1" applyBorder="1"/>
    <xf numFmtId="0" fontId="0" fillId="0" borderId="0" xfId="0" applyBorder="1" applyAlignment="1">
      <alignment horizontal="center"/>
    </xf>
    <xf numFmtId="0" fontId="25" fillId="0" borderId="0" xfId="0" applyFont="1" applyBorder="1"/>
    <xf numFmtId="0" fontId="13" fillId="0" borderId="40" xfId="0" applyFont="1" applyBorder="1"/>
    <xf numFmtId="0" fontId="0" fillId="0" borderId="28" xfId="0" applyBorder="1"/>
    <xf numFmtId="0" fontId="13" fillId="0" borderId="28" xfId="0" applyFont="1" applyBorder="1"/>
    <xf numFmtId="0" fontId="0" fillId="0" borderId="51" xfId="0" applyBorder="1"/>
    <xf numFmtId="0" fontId="0" fillId="0" borderId="10" xfId="0" applyBorder="1"/>
    <xf numFmtId="0" fontId="13" fillId="0" borderId="10" xfId="0" applyFont="1" applyBorder="1"/>
    <xf numFmtId="0" fontId="13" fillId="0" borderId="25" xfId="0" applyFont="1" applyBorder="1"/>
    <xf numFmtId="0" fontId="13" fillId="0" borderId="26" xfId="0" applyFont="1" applyBorder="1"/>
    <xf numFmtId="0" fontId="0" fillId="0" borderId="67" xfId="0" applyBorder="1"/>
    <xf numFmtId="0" fontId="25" fillId="0" borderId="26" xfId="0" applyFont="1" applyBorder="1"/>
    <xf numFmtId="170" fontId="17" fillId="0" borderId="24" xfId="0" applyNumberFormat="1" applyFont="1" applyBorder="1"/>
    <xf numFmtId="4" fontId="17" fillId="0" borderId="24" xfId="0" applyNumberFormat="1" applyFont="1" applyBorder="1" applyAlignment="1" applyProtection="1">
      <alignment horizontal="center"/>
      <protection locked="0"/>
    </xf>
    <xf numFmtId="0" fontId="13" fillId="0" borderId="42" xfId="0" applyFont="1" applyBorder="1" applyAlignment="1" applyProtection="1">
      <alignment horizontal="center"/>
      <protection locked="0"/>
    </xf>
    <xf numFmtId="172" fontId="0" fillId="0" borderId="0" xfId="0" applyNumberFormat="1"/>
    <xf numFmtId="170" fontId="17" fillId="0" borderId="22" xfId="0" applyNumberFormat="1" applyFont="1" applyBorder="1" applyAlignment="1">
      <alignment horizontal="center"/>
    </xf>
    <xf numFmtId="173" fontId="17" fillId="0" borderId="22" xfId="0" applyNumberFormat="1" applyFont="1" applyBorder="1" applyAlignment="1">
      <alignment horizontal="center"/>
    </xf>
    <xf numFmtId="170" fontId="17" fillId="3" borderId="43" xfId="0" applyNumberFormat="1" applyFont="1" applyFill="1" applyBorder="1" applyAlignment="1">
      <alignment horizontal="centerContinuous"/>
    </xf>
    <xf numFmtId="10" fontId="21" fillId="3" borderId="23" xfId="0" applyNumberFormat="1" applyFont="1" applyFill="1" applyBorder="1" applyAlignment="1">
      <alignment horizontal="centerContinuous"/>
    </xf>
    <xf numFmtId="170" fontId="17" fillId="0" borderId="43" xfId="0" applyNumberFormat="1" applyFont="1" applyBorder="1" applyAlignment="1">
      <alignment horizontal="center"/>
    </xf>
    <xf numFmtId="10" fontId="27" fillId="8" borderId="43" xfId="0" applyNumberFormat="1" applyFont="1" applyFill="1" applyBorder="1" applyAlignment="1">
      <alignment horizontal="center"/>
    </xf>
    <xf numFmtId="170" fontId="17" fillId="8" borderId="43" xfId="0" applyNumberFormat="1" applyFont="1" applyFill="1" applyBorder="1" applyAlignment="1">
      <alignment horizontal="centerContinuous"/>
    </xf>
    <xf numFmtId="10" fontId="21" fillId="0" borderId="23" xfId="0" applyNumberFormat="1" applyFont="1" applyBorder="1" applyAlignment="1">
      <alignment horizontal="centerContinuous"/>
    </xf>
    <xf numFmtId="2" fontId="10" fillId="0" borderId="0" xfId="4" applyNumberFormat="1" applyFont="1" applyAlignment="1">
      <alignment horizontal="centerContinuous"/>
    </xf>
    <xf numFmtId="2" fontId="3" fillId="0" borderId="0" xfId="4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Border="1"/>
    <xf numFmtId="2" fontId="3" fillId="0" borderId="0" xfId="0" applyNumberFormat="1" applyFont="1" applyFill="1" applyBorder="1"/>
    <xf numFmtId="4" fontId="3" fillId="0" borderId="0" xfId="0" applyNumberFormat="1" applyFont="1" applyFill="1" applyBorder="1"/>
    <xf numFmtId="10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0" fontId="10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Fill="1" applyBorder="1" applyProtection="1"/>
    <xf numFmtId="4" fontId="3" fillId="0" borderId="0" xfId="0" applyNumberFormat="1" applyFont="1" applyFill="1" applyBorder="1" applyProtection="1"/>
    <xf numFmtId="10" fontId="10" fillId="0" borderId="0" xfId="0" applyNumberFormat="1" applyFont="1" applyFill="1" applyBorder="1" applyAlignment="1" applyProtection="1">
      <alignment horizontal="center"/>
    </xf>
    <xf numFmtId="0" fontId="10" fillId="0" borderId="17" xfId="0" applyFont="1" applyFill="1" applyBorder="1" applyProtection="1"/>
    <xf numFmtId="0" fontId="3" fillId="0" borderId="18" xfId="0" applyFont="1" applyBorder="1" applyProtection="1"/>
    <xf numFmtId="0" fontId="10" fillId="0" borderId="9" xfId="0" applyFont="1" applyFill="1" applyBorder="1" applyProtection="1"/>
    <xf numFmtId="14" fontId="3" fillId="0" borderId="10" xfId="0" applyNumberFormat="1" applyFont="1" applyFill="1" applyBorder="1"/>
    <xf numFmtId="0" fontId="3" fillId="0" borderId="10" xfId="0" applyFont="1" applyFill="1" applyBorder="1"/>
    <xf numFmtId="2" fontId="3" fillId="0" borderId="0" xfId="4" applyNumberFormat="1" applyFont="1" applyBorder="1" applyAlignment="1">
      <alignment horizontal="center"/>
    </xf>
    <xf numFmtId="2" fontId="3" fillId="0" borderId="0" xfId="4" applyNumberFormat="1" applyFont="1"/>
    <xf numFmtId="2" fontId="3" fillId="0" borderId="0" xfId="4" applyNumberFormat="1" applyFont="1" applyAlignment="1">
      <alignment horizontal="center"/>
    </xf>
    <xf numFmtId="2" fontId="3" fillId="0" borderId="0" xfId="4" applyNumberFormat="1" applyFont="1" applyAlignment="1"/>
    <xf numFmtId="2" fontId="3" fillId="0" borderId="0" xfId="4" applyNumberFormat="1" applyFont="1" applyBorder="1"/>
    <xf numFmtId="2" fontId="3" fillId="0" borderId="68" xfId="4" applyNumberFormat="1" applyFont="1" applyBorder="1"/>
    <xf numFmtId="2" fontId="3" fillId="0" borderId="69" xfId="4" applyNumberFormat="1" applyFont="1" applyBorder="1"/>
    <xf numFmtId="2" fontId="3" fillId="0" borderId="70" xfId="4" applyNumberFormat="1" applyFont="1" applyBorder="1"/>
    <xf numFmtId="2" fontId="10" fillId="0" borderId="50" xfId="4" applyNumberFormat="1" applyFont="1" applyBorder="1" applyAlignment="1">
      <alignment horizontal="center"/>
    </xf>
    <xf numFmtId="2" fontId="10" fillId="0" borderId="49" xfId="4" applyNumberFormat="1" applyFont="1" applyBorder="1" applyAlignment="1">
      <alignment horizontal="centerContinuous"/>
    </xf>
    <xf numFmtId="2" fontId="10" fillId="0" borderId="49" xfId="4" applyNumberFormat="1" applyFont="1" applyBorder="1" applyAlignment="1">
      <alignment horizontal="center"/>
    </xf>
    <xf numFmtId="2" fontId="10" fillId="0" borderId="9" xfId="4" applyNumberFormat="1" applyFont="1" applyBorder="1" applyAlignment="1">
      <alignment horizontal="centerContinuous"/>
    </xf>
    <xf numFmtId="2" fontId="10" fillId="0" borderId="16" xfId="4" applyNumberFormat="1" applyFont="1" applyBorder="1" applyAlignment="1">
      <alignment horizontal="centerContinuous"/>
    </xf>
    <xf numFmtId="2" fontId="10" fillId="0" borderId="32" xfId="4" applyNumberFormat="1" applyFont="1" applyBorder="1" applyAlignment="1">
      <alignment horizontal="centerContinuous"/>
    </xf>
    <xf numFmtId="2" fontId="10" fillId="0" borderId="6" xfId="4" applyNumberFormat="1" applyFont="1" applyBorder="1" applyAlignment="1">
      <alignment horizontal="center"/>
    </xf>
    <xf numFmtId="2" fontId="10" fillId="0" borderId="48" xfId="4" applyNumberFormat="1" applyFont="1" applyBorder="1" applyAlignment="1">
      <alignment horizontal="centerContinuous"/>
    </xf>
    <xf numFmtId="0" fontId="3" fillId="0" borderId="29" xfId="0" applyFont="1" applyBorder="1" applyAlignment="1">
      <alignment horizontal="center"/>
    </xf>
    <xf numFmtId="4" fontId="18" fillId="0" borderId="32" xfId="0" applyNumberFormat="1" applyFont="1" applyBorder="1" applyAlignment="1">
      <alignment horizontal="center"/>
    </xf>
    <xf numFmtId="10" fontId="23" fillId="0" borderId="19" xfId="4" applyNumberFormat="1" applyFont="1" applyBorder="1" applyAlignment="1" applyProtection="1">
      <alignment horizontal="center"/>
    </xf>
    <xf numFmtId="2" fontId="3" fillId="9" borderId="24" xfId="4" applyNumberFormat="1" applyFont="1" applyFill="1" applyBorder="1" applyProtection="1"/>
    <xf numFmtId="1" fontId="3" fillId="7" borderId="0" xfId="4" applyNumberFormat="1" applyFont="1" applyFill="1" applyBorder="1" applyAlignment="1">
      <alignment horizontal="center"/>
    </xf>
    <xf numFmtId="2" fontId="3" fillId="7" borderId="0" xfId="4" applyNumberFormat="1" applyFont="1" applyFill="1" applyBorder="1"/>
    <xf numFmtId="170" fontId="18" fillId="7" borderId="0" xfId="4" applyNumberFormat="1" applyFont="1" applyFill="1" applyBorder="1" applyAlignment="1" applyProtection="1">
      <alignment horizontal="right"/>
    </xf>
    <xf numFmtId="10" fontId="23" fillId="7" borderId="0" xfId="4" applyNumberFormat="1" applyFont="1" applyFill="1" applyBorder="1" applyAlignment="1" applyProtection="1">
      <alignment horizontal="center"/>
    </xf>
    <xf numFmtId="2" fontId="18" fillId="7" borderId="0" xfId="4" applyNumberFormat="1" applyFont="1" applyFill="1" applyBorder="1" applyProtection="1">
      <protection locked="0"/>
    </xf>
    <xf numFmtId="2" fontId="3" fillId="9" borderId="32" xfId="4" applyNumberFormat="1" applyFont="1" applyFill="1" applyBorder="1" applyProtection="1"/>
    <xf numFmtId="2" fontId="3" fillId="0" borderId="43" xfId="4" applyNumberFormat="1" applyFont="1" applyBorder="1"/>
    <xf numFmtId="2" fontId="3" fillId="0" borderId="44" xfId="4" applyNumberFormat="1" applyFont="1" applyBorder="1"/>
    <xf numFmtId="2" fontId="3" fillId="0" borderId="66" xfId="4" applyNumberFormat="1" applyFont="1" applyBorder="1"/>
    <xf numFmtId="170" fontId="29" fillId="7" borderId="44" xfId="4" applyNumberFormat="1" applyFont="1" applyFill="1" applyBorder="1" applyAlignment="1" applyProtection="1">
      <alignment horizontal="center"/>
    </xf>
    <xf numFmtId="10" fontId="30" fillId="0" borderId="71" xfId="4" applyNumberFormat="1" applyFont="1" applyBorder="1" applyAlignment="1" applyProtection="1">
      <alignment horizontal="center"/>
    </xf>
    <xf numFmtId="10" fontId="23" fillId="7" borderId="71" xfId="4" applyNumberFormat="1" applyFont="1" applyFill="1" applyBorder="1" applyAlignment="1">
      <alignment horizontal="centerContinuous"/>
    </xf>
    <xf numFmtId="10" fontId="30" fillId="9" borderId="72" xfId="4" applyNumberFormat="1" applyFont="1" applyFill="1" applyBorder="1" applyProtection="1"/>
    <xf numFmtId="2" fontId="3" fillId="0" borderId="22" xfId="4" applyNumberFormat="1" applyFont="1" applyBorder="1"/>
    <xf numFmtId="2" fontId="3" fillId="0" borderId="23" xfId="4" applyNumberFormat="1" applyFont="1" applyBorder="1"/>
    <xf numFmtId="171" fontId="10" fillId="0" borderId="22" xfId="4" applyNumberFormat="1" applyFont="1" applyBorder="1" applyAlignment="1" applyProtection="1">
      <alignment horizontal="right"/>
    </xf>
    <xf numFmtId="4" fontId="18" fillId="0" borderId="22" xfId="4" applyNumberFormat="1" applyFont="1" applyBorder="1" applyAlignment="1">
      <alignment horizontal="center"/>
    </xf>
    <xf numFmtId="4" fontId="3" fillId="9" borderId="22" xfId="4" applyNumberFormat="1" applyFont="1" applyFill="1" applyBorder="1" applyAlignment="1" applyProtection="1">
      <alignment horizontal="center"/>
    </xf>
    <xf numFmtId="2" fontId="3" fillId="0" borderId="0" xfId="4" applyNumberFormat="1" applyFont="1" applyFill="1" applyBorder="1"/>
    <xf numFmtId="171" fontId="10" fillId="0" borderId="0" xfId="4" applyNumberFormat="1" applyFont="1" applyFill="1" applyBorder="1" applyProtection="1"/>
    <xf numFmtId="2" fontId="3" fillId="0" borderId="0" xfId="4" applyNumberFormat="1" applyFont="1" applyFill="1" applyBorder="1" applyAlignment="1">
      <alignment horizontal="center"/>
    </xf>
    <xf numFmtId="4" fontId="18" fillId="0" borderId="0" xfId="4" applyNumberFormat="1" applyFont="1" applyFill="1" applyBorder="1"/>
    <xf numFmtId="2" fontId="3" fillId="0" borderId="0" xfId="4" applyNumberFormat="1" applyFont="1" applyFill="1" applyBorder="1" applyProtection="1"/>
    <xf numFmtId="2" fontId="3" fillId="0" borderId="43" xfId="4" applyNumberFormat="1" applyFont="1" applyFill="1" applyBorder="1"/>
    <xf numFmtId="2" fontId="3" fillId="0" borderId="44" xfId="4" applyNumberFormat="1" applyFont="1" applyFill="1" applyBorder="1"/>
    <xf numFmtId="2" fontId="3" fillId="0" borderId="23" xfId="4" applyNumberFormat="1" applyFont="1" applyFill="1" applyBorder="1"/>
    <xf numFmtId="171" fontId="10" fillId="0" borderId="24" xfId="4" applyNumberFormat="1" applyFont="1" applyFill="1" applyBorder="1" applyProtection="1"/>
    <xf numFmtId="10" fontId="23" fillId="0" borderId="24" xfId="4" applyNumberFormat="1" applyFont="1" applyFill="1" applyBorder="1" applyAlignment="1">
      <alignment horizontal="center"/>
    </xf>
    <xf numFmtId="4" fontId="18" fillId="0" borderId="24" xfId="4" applyNumberFormat="1" applyFont="1" applyFill="1" applyBorder="1" applyProtection="1">
      <protection locked="0"/>
    </xf>
    <xf numFmtId="10" fontId="23" fillId="9" borderId="24" xfId="4" applyNumberFormat="1" applyFont="1" applyFill="1" applyBorder="1" applyAlignment="1" applyProtection="1">
      <alignment horizontal="center"/>
    </xf>
    <xf numFmtId="4" fontId="18" fillId="0" borderId="24" xfId="4" applyNumberFormat="1" applyFont="1" applyFill="1" applyBorder="1" applyAlignment="1" applyProtection="1">
      <alignment horizontal="center"/>
      <protection locked="0"/>
    </xf>
    <xf numFmtId="171" fontId="10" fillId="0" borderId="0" xfId="4" applyNumberFormat="1" applyFont="1" applyFill="1" applyBorder="1"/>
    <xf numFmtId="0" fontId="3" fillId="0" borderId="0" xfId="0" applyFont="1" applyAlignment="1"/>
    <xf numFmtId="2" fontId="3" fillId="0" borderId="0" xfId="4" applyNumberFormat="1" applyFont="1" applyBorder="1" applyAlignment="1"/>
    <xf numFmtId="10" fontId="3" fillId="9" borderId="24" xfId="4" applyNumberFormat="1" applyFont="1" applyFill="1" applyBorder="1" applyProtection="1"/>
    <xf numFmtId="10" fontId="18" fillId="0" borderId="24" xfId="4" applyNumberFormat="1" applyFont="1" applyBorder="1" applyProtection="1">
      <protection locked="0"/>
    </xf>
    <xf numFmtId="4" fontId="17" fillId="3" borderId="23" xfId="2" applyNumberFormat="1" applyFont="1" applyFill="1" applyBorder="1" applyAlignment="1">
      <alignment horizontal="center"/>
    </xf>
    <xf numFmtId="2" fontId="3" fillId="0" borderId="39" xfId="4" applyNumberFormat="1" applyFont="1" applyBorder="1" applyAlignment="1">
      <alignment horizontal="center"/>
    </xf>
    <xf numFmtId="2" fontId="10" fillId="0" borderId="5" xfId="4" applyNumberFormat="1" applyFont="1" applyBorder="1" applyAlignment="1" applyProtection="1">
      <alignment horizontal="centerContinuous"/>
      <protection locked="0"/>
    </xf>
    <xf numFmtId="2" fontId="10" fillId="0" borderId="6" xfId="4" applyNumberFormat="1" applyFont="1" applyBorder="1" applyAlignment="1">
      <alignment horizontal="centerContinuous"/>
    </xf>
    <xf numFmtId="0" fontId="35" fillId="11" borderId="0" xfId="0" applyFont="1" applyFill="1"/>
    <xf numFmtId="0" fontId="13" fillId="0" borderId="7" xfId="1" applyFont="1" applyBorder="1" applyAlignment="1"/>
    <xf numFmtId="0" fontId="13" fillId="0" borderId="8" xfId="1" applyFont="1" applyBorder="1" applyAlignment="1">
      <alignment horizontal="left"/>
    </xf>
    <xf numFmtId="0" fontId="26" fillId="0" borderId="8" xfId="1" applyFont="1" applyBorder="1" applyAlignment="1">
      <alignment horizontal="left"/>
    </xf>
    <xf numFmtId="0" fontId="34" fillId="0" borderId="8" xfId="1" applyFont="1" applyFill="1" applyBorder="1" applyAlignment="1">
      <alignment vertical="justify"/>
    </xf>
    <xf numFmtId="0" fontId="13" fillId="0" borderId="8" xfId="1" applyFont="1" applyBorder="1" applyAlignment="1"/>
    <xf numFmtId="0" fontId="7" fillId="0" borderId="8" xfId="1" applyFont="1" applyBorder="1" applyAlignment="1">
      <alignment horizontal="left"/>
    </xf>
    <xf numFmtId="0" fontId="36" fillId="0" borderId="8" xfId="1" applyFont="1" applyBorder="1"/>
    <xf numFmtId="0" fontId="33" fillId="0" borderId="8" xfId="1" applyFont="1" applyFill="1" applyBorder="1" applyAlignment="1">
      <alignment vertical="center"/>
    </xf>
    <xf numFmtId="0" fontId="33" fillId="0" borderId="15" xfId="1" applyFont="1" applyFill="1" applyBorder="1" applyAlignment="1">
      <alignment vertical="center"/>
    </xf>
    <xf numFmtId="0" fontId="36" fillId="0" borderId="0" xfId="1" applyFont="1"/>
    <xf numFmtId="0" fontId="13" fillId="0" borderId="5" xfId="1" applyFont="1" applyBorder="1" applyAlignment="1"/>
    <xf numFmtId="0" fontId="13" fillId="0" borderId="0" xfId="1" applyFont="1" applyBorder="1" applyAlignment="1">
      <alignment vertical="justify"/>
    </xf>
    <xf numFmtId="0" fontId="33" fillId="0" borderId="0" xfId="1" applyFont="1" applyFill="1" applyBorder="1" applyAlignment="1">
      <alignment vertical="center"/>
    </xf>
    <xf numFmtId="0" fontId="33" fillId="0" borderId="6" xfId="1" applyFont="1" applyFill="1" applyBorder="1" applyAlignment="1">
      <alignment vertical="center"/>
    </xf>
    <xf numFmtId="0" fontId="36" fillId="0" borderId="0" xfId="1" applyFont="1" applyAlignment="1">
      <alignment horizontal="left"/>
    </xf>
    <xf numFmtId="0" fontId="32" fillId="0" borderId="0" xfId="1" applyFont="1"/>
    <xf numFmtId="0" fontId="13" fillId="0" borderId="7" xfId="1" applyFont="1" applyFill="1" applyBorder="1" applyAlignment="1">
      <alignment horizontal="left"/>
    </xf>
    <xf numFmtId="0" fontId="13" fillId="0" borderId="8" xfId="1" applyFont="1" applyFill="1" applyBorder="1" applyAlignment="1">
      <alignment horizontal="left"/>
    </xf>
    <xf numFmtId="0" fontId="7" fillId="0" borderId="8" xfId="1" applyFont="1" applyFill="1" applyBorder="1" applyAlignment="1">
      <alignment horizontal="center"/>
    </xf>
    <xf numFmtId="0" fontId="7" fillId="0" borderId="8" xfId="1" applyFont="1" applyFill="1" applyBorder="1" applyAlignment="1">
      <alignment horizontal="left"/>
    </xf>
    <xf numFmtId="0" fontId="32" fillId="0" borderId="8" xfId="1" applyFont="1" applyBorder="1"/>
    <xf numFmtId="0" fontId="32" fillId="0" borderId="15" xfId="1" applyFont="1" applyBorder="1"/>
    <xf numFmtId="0" fontId="16" fillId="0" borderId="5" xfId="1" applyFont="1" applyFill="1" applyBorder="1" applyAlignment="1">
      <alignment horizontal="left"/>
    </xf>
    <xf numFmtId="0" fontId="1" fillId="0" borderId="0" xfId="1" applyBorder="1"/>
    <xf numFmtId="0" fontId="16" fillId="0" borderId="0" xfId="1" applyFont="1" applyFill="1" applyBorder="1" applyAlignment="1">
      <alignment horizontal="left"/>
    </xf>
    <xf numFmtId="0" fontId="1" fillId="0" borderId="6" xfId="1" applyBorder="1"/>
    <xf numFmtId="0" fontId="1" fillId="0" borderId="0" xfId="1"/>
    <xf numFmtId="0" fontId="1" fillId="0" borderId="5" xfId="1" applyBorder="1"/>
    <xf numFmtId="0" fontId="1" fillId="0" borderId="0" xfId="1" applyFont="1" applyBorder="1"/>
    <xf numFmtId="0" fontId="1" fillId="0" borderId="6" xfId="1" applyBorder="1" applyAlignment="1">
      <alignment horizontal="center"/>
    </xf>
    <xf numFmtId="0" fontId="1" fillId="0" borderId="24" xfId="1" applyBorder="1"/>
    <xf numFmtId="0" fontId="1" fillId="0" borderId="0" xfId="1" quotePrefix="1"/>
    <xf numFmtId="0" fontId="31" fillId="0" borderId="6" xfId="1" applyFont="1" applyBorder="1"/>
    <xf numFmtId="0" fontId="1" fillId="0" borderId="9" xfId="1" applyBorder="1"/>
    <xf numFmtId="0" fontId="1" fillId="0" borderId="10" xfId="1" applyBorder="1"/>
    <xf numFmtId="0" fontId="1" fillId="0" borderId="16" xfId="1" applyBorder="1"/>
    <xf numFmtId="0" fontId="2" fillId="0" borderId="0" xfId="1" applyFont="1"/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4" fontId="9" fillId="0" borderId="0" xfId="0" applyNumberFormat="1" applyFont="1" applyAlignment="1" applyProtection="1">
      <alignment vertical="center"/>
    </xf>
    <xf numFmtId="43" fontId="9" fillId="0" borderId="0" xfId="0" applyNumberFormat="1" applyFont="1" applyAlignment="1" applyProtection="1">
      <alignment vertical="center"/>
    </xf>
    <xf numFmtId="0" fontId="7" fillId="0" borderId="1" xfId="0" applyFont="1" applyBorder="1" applyAlignment="1">
      <alignment horizontal="centerContinuous"/>
    </xf>
    <xf numFmtId="10" fontId="9" fillId="0" borderId="0" xfId="0" applyNumberFormat="1" applyFont="1" applyAlignment="1" applyProtection="1">
      <alignment vertical="center"/>
    </xf>
    <xf numFmtId="10" fontId="9" fillId="0" borderId="14" xfId="0" applyNumberFormat="1" applyFont="1" applyBorder="1" applyAlignment="1" applyProtection="1">
      <alignment vertical="center"/>
    </xf>
    <xf numFmtId="10" fontId="9" fillId="0" borderId="2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</xf>
    <xf numFmtId="0" fontId="7" fillId="11" borderId="0" xfId="0" applyFont="1" applyFill="1"/>
    <xf numFmtId="0" fontId="13" fillId="0" borderId="21" xfId="0" applyFont="1" applyBorder="1" applyAlignment="1">
      <alignment horizontal="center"/>
    </xf>
    <xf numFmtId="4" fontId="17" fillId="3" borderId="23" xfId="2" applyNumberFormat="1" applyFont="1" applyFill="1" applyBorder="1" applyAlignment="1">
      <alignment horizontal="right"/>
    </xf>
    <xf numFmtId="10" fontId="21" fillId="3" borderId="23" xfId="2" applyNumberFormat="1" applyFont="1" applyFill="1" applyBorder="1" applyAlignment="1">
      <alignment horizontal="right"/>
    </xf>
    <xf numFmtId="170" fontId="17" fillId="0" borderId="43" xfId="0" applyNumberFormat="1" applyFont="1" applyBorder="1" applyAlignment="1">
      <alignment horizontal="right"/>
    </xf>
    <xf numFmtId="0" fontId="10" fillId="10" borderId="53" xfId="0" applyFont="1" applyFill="1" applyBorder="1"/>
    <xf numFmtId="2" fontId="39" fillId="11" borderId="19" xfId="0" applyNumberFormat="1" applyFont="1" applyFill="1" applyBorder="1" applyAlignment="1">
      <alignment vertical="center"/>
    </xf>
    <xf numFmtId="2" fontId="40" fillId="11" borderId="19" xfId="0" applyNumberFormat="1" applyFont="1" applyFill="1" applyBorder="1" applyAlignment="1">
      <alignment vertical="center"/>
    </xf>
    <xf numFmtId="0" fontId="9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35" fillId="11" borderId="0" xfId="0" applyFont="1" applyFill="1" applyBorder="1"/>
    <xf numFmtId="3" fontId="9" fillId="0" borderId="0" xfId="0" applyNumberFormat="1" applyFont="1" applyAlignment="1" applyProtection="1">
      <alignment vertical="center"/>
    </xf>
    <xf numFmtId="0" fontId="41" fillId="0" borderId="0" xfId="6" applyAlignment="1" applyProtection="1">
      <alignment vertical="center"/>
    </xf>
    <xf numFmtId="0" fontId="35" fillId="0" borderId="0" xfId="0" applyFont="1" applyBorder="1"/>
    <xf numFmtId="0" fontId="0" fillId="0" borderId="0" xfId="0" applyBorder="1" applyAlignment="1"/>
    <xf numFmtId="0" fontId="7" fillId="11" borderId="24" xfId="0" applyFont="1" applyFill="1" applyBorder="1" applyAlignment="1">
      <alignment horizontal="left" vertical="center"/>
    </xf>
    <xf numFmtId="0" fontId="7" fillId="11" borderId="17" xfId="0" applyFont="1" applyFill="1" applyBorder="1" applyAlignment="1">
      <alignment horizontal="left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2" fontId="42" fillId="11" borderId="0" xfId="0" applyNumberFormat="1" applyFont="1" applyFill="1"/>
    <xf numFmtId="2" fontId="39" fillId="11" borderId="0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/>
    </xf>
    <xf numFmtId="2" fontId="42" fillId="11" borderId="0" xfId="0" applyNumberFormat="1" applyFont="1" applyFill="1" applyBorder="1" applyAlignment="1">
      <alignment horizontal="center" vertical="center"/>
    </xf>
    <xf numFmtId="2" fontId="10" fillId="0" borderId="32" xfId="4" applyNumberFormat="1" applyFont="1" applyBorder="1" applyAlignment="1" applyProtection="1">
      <alignment horizontal="centerContinuous"/>
      <protection locked="0"/>
    </xf>
    <xf numFmtId="0" fontId="7" fillId="11" borderId="24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horizontal="center" vertical="center"/>
    </xf>
    <xf numFmtId="2" fontId="7" fillId="11" borderId="24" xfId="0" applyNumberFormat="1" applyFont="1" applyFill="1" applyBorder="1" applyAlignment="1">
      <alignment horizontal="center" vertical="center"/>
    </xf>
    <xf numFmtId="2" fontId="7" fillId="11" borderId="17" xfId="0" applyNumberFormat="1" applyFont="1" applyFill="1" applyBorder="1" applyAlignment="1">
      <alignment horizontal="center" vertical="center"/>
    </xf>
    <xf numFmtId="2" fontId="7" fillId="11" borderId="19" xfId="0" applyNumberFormat="1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left"/>
    </xf>
    <xf numFmtId="2" fontId="7" fillId="11" borderId="24" xfId="0" applyNumberFormat="1" applyFont="1" applyFill="1" applyBorder="1" applyAlignment="1">
      <alignment horizontal="center"/>
    </xf>
    <xf numFmtId="0" fontId="7" fillId="11" borderId="24" xfId="0" applyFont="1" applyFill="1" applyBorder="1"/>
    <xf numFmtId="2" fontId="7" fillId="11" borderId="17" xfId="0" applyNumberFormat="1" applyFont="1" applyFill="1" applyBorder="1" applyAlignment="1">
      <alignment horizontal="center"/>
    </xf>
    <xf numFmtId="49" fontId="8" fillId="11" borderId="24" xfId="0" applyNumberFormat="1" applyFont="1" applyFill="1" applyBorder="1" applyAlignment="1" applyProtection="1">
      <alignment horizontal="center" vertical="center"/>
      <protection locked="0"/>
    </xf>
    <xf numFmtId="49" fontId="9" fillId="11" borderId="24" xfId="0" applyNumberFormat="1" applyFont="1" applyFill="1" applyBorder="1" applyAlignment="1" applyProtection="1">
      <alignment horizontal="center" vertical="center"/>
      <protection locked="0"/>
    </xf>
    <xf numFmtId="0" fontId="9" fillId="11" borderId="24" xfId="0" applyFont="1" applyFill="1" applyBorder="1" applyAlignment="1" applyProtection="1">
      <alignment horizontal="center" vertical="center"/>
      <protection locked="0"/>
    </xf>
    <xf numFmtId="0" fontId="8" fillId="11" borderId="24" xfId="0" applyFont="1" applyFill="1" applyBorder="1" applyAlignment="1" applyProtection="1">
      <alignment horizontal="center" vertical="center"/>
      <protection locked="0"/>
    </xf>
    <xf numFmtId="164" fontId="9" fillId="11" borderId="19" xfId="3" applyFont="1" applyFill="1" applyBorder="1" applyAlignment="1" applyProtection="1">
      <alignment vertical="center"/>
    </xf>
    <xf numFmtId="164" fontId="9" fillId="11" borderId="19" xfId="3" applyFont="1" applyFill="1" applyBorder="1" applyAlignment="1" applyProtection="1">
      <alignment horizontal="center" vertical="center"/>
    </xf>
    <xf numFmtId="0" fontId="13" fillId="11" borderId="0" xfId="0" applyFont="1" applyFill="1"/>
    <xf numFmtId="0" fontId="0" fillId="11" borderId="0" xfId="0" applyFill="1"/>
    <xf numFmtId="0" fontId="3" fillId="11" borderId="0" xfId="0" applyFont="1" applyFill="1"/>
    <xf numFmtId="0" fontId="7" fillId="11" borderId="0" xfId="0" applyFont="1" applyFill="1" applyBorder="1" applyAlignment="1">
      <alignment horizontal="center" vertical="center"/>
    </xf>
    <xf numFmtId="4" fontId="7" fillId="11" borderId="0" xfId="0" applyNumberFormat="1" applyFont="1" applyFill="1" applyBorder="1" applyAlignment="1">
      <alignment horizontal="center"/>
    </xf>
    <xf numFmtId="2" fontId="7" fillId="11" borderId="0" xfId="0" applyNumberFormat="1" applyFont="1" applyFill="1"/>
    <xf numFmtId="0" fontId="7" fillId="11" borderId="0" xfId="0" applyFont="1" applyFill="1" applyBorder="1"/>
    <xf numFmtId="2" fontId="7" fillId="11" borderId="0" xfId="0" applyNumberFormat="1" applyFont="1" applyFill="1" applyBorder="1" applyAlignment="1">
      <alignment horizontal="center"/>
    </xf>
    <xf numFmtId="0" fontId="13" fillId="11" borderId="0" xfId="0" applyFont="1" applyFill="1" applyBorder="1"/>
    <xf numFmtId="2" fontId="7" fillId="11" borderId="0" xfId="0" applyNumberFormat="1" applyFont="1" applyFill="1" applyBorder="1"/>
    <xf numFmtId="0" fontId="13" fillId="11" borderId="0" xfId="0" applyFont="1" applyFill="1" applyAlignment="1">
      <alignment horizontal="left"/>
    </xf>
    <xf numFmtId="4" fontId="13" fillId="11" borderId="0" xfId="0" applyNumberFormat="1" applyFont="1" applyFill="1"/>
    <xf numFmtId="2" fontId="13" fillId="11" borderId="0" xfId="0" applyNumberFormat="1" applyFont="1" applyFill="1"/>
    <xf numFmtId="4" fontId="7" fillId="11" borderId="0" xfId="0" applyNumberFormat="1" applyFont="1" applyFill="1"/>
    <xf numFmtId="4" fontId="7" fillId="11" borderId="24" xfId="0" applyNumberFormat="1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2" fontId="39" fillId="11" borderId="0" xfId="0" applyNumberFormat="1" applyFont="1" applyFill="1" applyBorder="1" applyAlignment="1">
      <alignment horizontal="center"/>
    </xf>
    <xf numFmtId="4" fontId="13" fillId="11" borderId="24" xfId="0" applyNumberFormat="1" applyFont="1" applyFill="1" applyBorder="1" applyAlignment="1">
      <alignment horizontal="center"/>
    </xf>
    <xf numFmtId="174" fontId="13" fillId="11" borderId="24" xfId="0" applyNumberFormat="1" applyFont="1" applyFill="1" applyBorder="1" applyAlignment="1">
      <alignment horizontal="center"/>
    </xf>
    <xf numFmtId="0" fontId="13" fillId="11" borderId="24" xfId="0" applyFont="1" applyFill="1" applyBorder="1" applyAlignment="1">
      <alignment horizontal="center"/>
    </xf>
    <xf numFmtId="4" fontId="7" fillId="11" borderId="24" xfId="0" applyNumberFormat="1" applyFont="1" applyFill="1" applyBorder="1"/>
    <xf numFmtId="0" fontId="1" fillId="11" borderId="0" xfId="0" applyFont="1" applyFill="1"/>
    <xf numFmtId="0" fontId="13" fillId="11" borderId="24" xfId="0" applyFont="1" applyFill="1" applyBorder="1"/>
    <xf numFmtId="2" fontId="13" fillId="11" borderId="24" xfId="0" applyNumberFormat="1" applyFont="1" applyFill="1" applyBorder="1" applyAlignment="1">
      <alignment horizontal="center"/>
    </xf>
    <xf numFmtId="4" fontId="7" fillId="11" borderId="24" xfId="0" applyNumberFormat="1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4" fontId="13" fillId="11" borderId="24" xfId="0" applyNumberFormat="1" applyFont="1" applyFill="1" applyBorder="1" applyAlignment="1">
      <alignment horizontal="center" vertical="center"/>
    </xf>
    <xf numFmtId="0" fontId="13" fillId="11" borderId="24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left"/>
    </xf>
    <xf numFmtId="0" fontId="7" fillId="11" borderId="0" xfId="0" applyFont="1" applyFill="1" applyBorder="1" applyAlignment="1">
      <alignment horizontal="right"/>
    </xf>
    <xf numFmtId="0" fontId="7" fillId="11" borderId="0" xfId="0" applyFont="1" applyFill="1" applyBorder="1" applyAlignment="1">
      <alignment wrapText="1"/>
    </xf>
    <xf numFmtId="3" fontId="7" fillId="11" borderId="0" xfId="0" applyNumberFormat="1" applyFont="1" applyFill="1" applyBorder="1"/>
    <xf numFmtId="0" fontId="10" fillId="11" borderId="0" xfId="0" applyFont="1" applyFill="1" applyBorder="1"/>
    <xf numFmtId="2" fontId="13" fillId="11" borderId="0" xfId="0" applyNumberFormat="1" applyFont="1" applyFill="1" applyBorder="1" applyAlignment="1">
      <alignment horizontal="center"/>
    </xf>
    <xf numFmtId="2" fontId="35" fillId="11" borderId="0" xfId="0" applyNumberFormat="1" applyFont="1" applyFill="1"/>
    <xf numFmtId="0" fontId="13" fillId="11" borderId="0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left"/>
    </xf>
    <xf numFmtId="0" fontId="13" fillId="11" borderId="0" xfId="0" applyFont="1" applyFill="1" applyBorder="1" applyAlignment="1">
      <alignment horizontal="right"/>
    </xf>
    <xf numFmtId="3" fontId="13" fillId="11" borderId="0" xfId="0" applyNumberFormat="1" applyFont="1" applyFill="1" applyBorder="1"/>
    <xf numFmtId="164" fontId="7" fillId="11" borderId="0" xfId="3" applyFont="1" applyFill="1" applyBorder="1"/>
    <xf numFmtId="164" fontId="7" fillId="11" borderId="24" xfId="3" applyFont="1" applyFill="1" applyBorder="1"/>
    <xf numFmtId="3" fontId="7" fillId="11" borderId="24" xfId="0" applyNumberFormat="1" applyFont="1" applyFill="1" applyBorder="1" applyAlignment="1">
      <alignment horizontal="center"/>
    </xf>
    <xf numFmtId="3" fontId="7" fillId="11" borderId="24" xfId="0" applyNumberFormat="1" applyFont="1" applyFill="1" applyBorder="1"/>
    <xf numFmtId="4" fontId="35" fillId="11" borderId="0" xfId="0" applyNumberFormat="1" applyFont="1" applyFill="1"/>
    <xf numFmtId="175" fontId="7" fillId="11" borderId="24" xfId="0" applyNumberFormat="1" applyFont="1" applyFill="1" applyBorder="1" applyAlignment="1">
      <alignment horizontal="center"/>
    </xf>
    <xf numFmtId="0" fontId="13" fillId="11" borderId="10" xfId="0" applyFont="1" applyFill="1" applyBorder="1" applyAlignment="1"/>
    <xf numFmtId="2" fontId="13" fillId="11" borderId="10" xfId="0" applyNumberFormat="1" applyFont="1" applyFill="1" applyBorder="1" applyAlignment="1"/>
    <xf numFmtId="2" fontId="13" fillId="11" borderId="0" xfId="0" applyNumberFormat="1" applyFont="1" applyFill="1" applyBorder="1" applyAlignment="1"/>
    <xf numFmtId="0" fontId="7" fillId="11" borderId="0" xfId="0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center" vertical="center" wrapText="1"/>
    </xf>
    <xf numFmtId="2" fontId="42" fillId="11" borderId="0" xfId="0" applyNumberFormat="1" applyFont="1" applyFill="1" applyBorder="1" applyAlignment="1">
      <alignment horizontal="center" vertical="center" wrapText="1"/>
    </xf>
    <xf numFmtId="2" fontId="0" fillId="11" borderId="0" xfId="0" applyNumberFormat="1" applyFill="1"/>
    <xf numFmtId="4" fontId="7" fillId="11" borderId="0" xfId="0" applyNumberFormat="1" applyFont="1" applyFill="1" applyBorder="1"/>
    <xf numFmtId="2" fontId="13" fillId="11" borderId="0" xfId="0" applyNumberFormat="1" applyFont="1" applyFill="1" applyBorder="1" applyAlignment="1">
      <alignment horizontal="right"/>
    </xf>
    <xf numFmtId="176" fontId="7" fillId="11" borderId="24" xfId="0" applyNumberFormat="1" applyFont="1" applyFill="1" applyBorder="1" applyAlignment="1">
      <alignment horizontal="center"/>
    </xf>
    <xf numFmtId="2" fontId="7" fillId="11" borderId="0" xfId="0" applyNumberFormat="1" applyFont="1" applyFill="1" applyBorder="1" applyAlignment="1">
      <alignment horizontal="right"/>
    </xf>
    <xf numFmtId="4" fontId="39" fillId="11" borderId="0" xfId="0" applyNumberFormat="1" applyFont="1" applyFill="1" applyBorder="1" applyAlignment="1">
      <alignment horizontal="center"/>
    </xf>
    <xf numFmtId="0" fontId="13" fillId="11" borderId="24" xfId="0" applyFont="1" applyFill="1" applyBorder="1" applyAlignment="1">
      <alignment horizontal="right"/>
    </xf>
    <xf numFmtId="164" fontId="7" fillId="11" borderId="24" xfId="0" applyNumberFormat="1" applyFont="1" applyFill="1" applyBorder="1"/>
    <xf numFmtId="0" fontId="7" fillId="11" borderId="0" xfId="0" applyFont="1" applyFill="1" applyAlignment="1">
      <alignment wrapText="1"/>
    </xf>
    <xf numFmtId="2" fontId="13" fillId="11" borderId="24" xfId="0" applyNumberFormat="1" applyFont="1" applyFill="1" applyBorder="1" applyAlignment="1">
      <alignment horizontal="center" vertical="center"/>
    </xf>
    <xf numFmtId="2" fontId="13" fillId="11" borderId="17" xfId="0" applyNumberFormat="1" applyFont="1" applyFill="1" applyBorder="1" applyAlignment="1">
      <alignment horizontal="center" vertical="center"/>
    </xf>
    <xf numFmtId="2" fontId="13" fillId="11" borderId="0" xfId="0" applyNumberFormat="1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horizontal="right"/>
    </xf>
    <xf numFmtId="2" fontId="7" fillId="11" borderId="0" xfId="0" applyNumberFormat="1" applyFont="1" applyFill="1" applyBorder="1" applyAlignment="1">
      <alignment wrapText="1"/>
    </xf>
    <xf numFmtId="0" fontId="26" fillId="11" borderId="24" xfId="0" applyFont="1" applyFill="1" applyBorder="1" applyAlignment="1">
      <alignment vertical="center" wrapText="1"/>
    </xf>
    <xf numFmtId="0" fontId="26" fillId="11" borderId="19" xfId="0" applyFont="1" applyFill="1" applyBorder="1" applyAlignment="1">
      <alignment vertical="center" wrapText="1"/>
    </xf>
    <xf numFmtId="2" fontId="26" fillId="11" borderId="24" xfId="0" applyNumberFormat="1" applyFont="1" applyFill="1" applyBorder="1" applyAlignment="1">
      <alignment vertical="center" wrapText="1"/>
    </xf>
    <xf numFmtId="2" fontId="26" fillId="11" borderId="19" xfId="0" applyNumberFormat="1" applyFont="1" applyFill="1" applyBorder="1" applyAlignment="1">
      <alignment vertical="center" wrapText="1"/>
    </xf>
    <xf numFmtId="2" fontId="7" fillId="11" borderId="24" xfId="0" applyNumberFormat="1" applyFont="1" applyFill="1" applyBorder="1" applyAlignment="1">
      <alignment vertical="center"/>
    </xf>
    <xf numFmtId="0" fontId="7" fillId="11" borderId="24" xfId="0" applyFont="1" applyFill="1" applyBorder="1" applyAlignment="1">
      <alignment vertical="center"/>
    </xf>
    <xf numFmtId="0" fontId="7" fillId="11" borderId="5" xfId="0" applyFont="1" applyFill="1" applyBorder="1"/>
    <xf numFmtId="0" fontId="2" fillId="11" borderId="0" xfId="0" applyFont="1" applyFill="1" applyBorder="1" applyAlignment="1"/>
    <xf numFmtId="174" fontId="7" fillId="11" borderId="24" xfId="0" applyNumberFormat="1" applyFont="1" applyFill="1" applyBorder="1" applyAlignment="1">
      <alignment horizontal="center" vertical="center"/>
    </xf>
    <xf numFmtId="174" fontId="13" fillId="11" borderId="24" xfId="0" applyNumberFormat="1" applyFont="1" applyFill="1" applyBorder="1" applyAlignment="1">
      <alignment horizontal="center" vertical="center"/>
    </xf>
    <xf numFmtId="0" fontId="0" fillId="11" borderId="0" xfId="0" applyFill="1" applyBorder="1"/>
    <xf numFmtId="0" fontId="13" fillId="11" borderId="0" xfId="0" applyFont="1" applyFill="1" applyBorder="1" applyAlignment="1"/>
    <xf numFmtId="0" fontId="7" fillId="11" borderId="48" xfId="0" applyFont="1" applyFill="1" applyBorder="1" applyAlignment="1">
      <alignment horizontal="center"/>
    </xf>
    <xf numFmtId="2" fontId="7" fillId="11" borderId="24" xfId="0" applyNumberFormat="1" applyFont="1" applyFill="1" applyBorder="1"/>
    <xf numFmtId="2" fontId="7" fillId="11" borderId="48" xfId="0" applyNumberFormat="1" applyFont="1" applyFill="1" applyBorder="1" applyAlignment="1">
      <alignment horizontal="center"/>
    </xf>
    <xf numFmtId="178" fontId="7" fillId="11" borderId="24" xfId="0" applyNumberFormat="1" applyFont="1" applyFill="1" applyBorder="1" applyAlignment="1">
      <alignment horizontal="center"/>
    </xf>
    <xf numFmtId="174" fontId="7" fillId="11" borderId="24" xfId="0" applyNumberFormat="1" applyFont="1" applyFill="1" applyBorder="1" applyAlignment="1">
      <alignment horizontal="center"/>
    </xf>
    <xf numFmtId="0" fontId="10" fillId="11" borderId="0" xfId="0" applyFont="1" applyFill="1"/>
    <xf numFmtId="2" fontId="16" fillId="11" borderId="24" xfId="0" applyNumberFormat="1" applyFont="1" applyFill="1" applyBorder="1" applyAlignment="1">
      <alignment horizontal="center"/>
    </xf>
    <xf numFmtId="0" fontId="7" fillId="11" borderId="24" xfId="0" applyFont="1" applyFill="1" applyBorder="1" applyAlignment="1">
      <alignment wrapText="1"/>
    </xf>
    <xf numFmtId="0" fontId="10" fillId="11" borderId="24" xfId="0" applyFont="1" applyFill="1" applyBorder="1"/>
    <xf numFmtId="2" fontId="13" fillId="11" borderId="0" xfId="0" applyNumberFormat="1" applyFont="1" applyFill="1" applyBorder="1"/>
    <xf numFmtId="0" fontId="1" fillId="11" borderId="0" xfId="0" applyFont="1" applyFill="1" applyAlignment="1">
      <alignment horizontal="center"/>
    </xf>
    <xf numFmtId="0" fontId="9" fillId="11" borderId="0" xfId="0" applyFont="1" applyFill="1" applyAlignment="1">
      <alignment horizontal="center"/>
    </xf>
    <xf numFmtId="0" fontId="3" fillId="11" borderId="0" xfId="0" applyFont="1" applyFill="1" applyAlignment="1">
      <alignment horizontal="center"/>
    </xf>
    <xf numFmtId="0" fontId="37" fillId="11" borderId="0" xfId="0" applyFont="1" applyFill="1" applyAlignment="1">
      <alignment wrapText="1"/>
    </xf>
    <xf numFmtId="0" fontId="38" fillId="11" borderId="0" xfId="0" applyFont="1" applyFill="1" applyAlignment="1">
      <alignment wrapText="1"/>
    </xf>
    <xf numFmtId="0" fontId="9" fillId="11" borderId="24" xfId="0" applyFont="1" applyFill="1" applyBorder="1" applyAlignment="1" applyProtection="1">
      <alignment horizontal="center" vertical="center"/>
      <protection locked="0"/>
    </xf>
    <xf numFmtId="2" fontId="7" fillId="11" borderId="0" xfId="0" applyNumberFormat="1" applyFont="1" applyFill="1" applyBorder="1" applyAlignment="1">
      <alignment horizontal="center" vertical="center"/>
    </xf>
    <xf numFmtId="0" fontId="7" fillId="11" borderId="24" xfId="0" applyFont="1" applyFill="1" applyBorder="1" applyAlignment="1">
      <alignment vertical="center" wrapText="1"/>
    </xf>
    <xf numFmtId="0" fontId="7" fillId="11" borderId="24" xfId="0" applyFont="1" applyFill="1" applyBorder="1" applyAlignment="1">
      <alignment horizontal="center" vertical="center" wrapText="1"/>
    </xf>
    <xf numFmtId="0" fontId="7" fillId="11" borderId="0" xfId="0" applyFont="1" applyFill="1" applyBorder="1" applyAlignment="1">
      <alignment horizontal="left" vertical="center"/>
    </xf>
    <xf numFmtId="174" fontId="13" fillId="11" borderId="0" xfId="0" applyNumberFormat="1" applyFont="1" applyFill="1" applyBorder="1" applyAlignment="1">
      <alignment horizontal="center" vertical="center"/>
    </xf>
    <xf numFmtId="49" fontId="43" fillId="11" borderId="24" xfId="0" applyNumberFormat="1" applyFont="1" applyFill="1" applyBorder="1" applyAlignment="1" applyProtection="1">
      <alignment horizontal="center" vertical="center"/>
      <protection locked="0"/>
    </xf>
    <xf numFmtId="49" fontId="9" fillId="11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1" borderId="0" xfId="0" applyFont="1" applyFill="1" applyAlignment="1">
      <alignment horizontal="center"/>
    </xf>
    <xf numFmtId="4" fontId="7" fillId="11" borderId="17" xfId="0" applyNumberFormat="1" applyFont="1" applyFill="1" applyBorder="1" applyAlignment="1">
      <alignment horizontal="center"/>
    </xf>
    <xf numFmtId="4" fontId="7" fillId="11" borderId="19" xfId="0" applyNumberFormat="1" applyFont="1" applyFill="1" applyBorder="1" applyAlignment="1">
      <alignment horizontal="center"/>
    </xf>
    <xf numFmtId="0" fontId="7" fillId="11" borderId="0" xfId="0" applyFont="1" applyFill="1" applyAlignment="1">
      <alignment wrapText="1"/>
    </xf>
    <xf numFmtId="0" fontId="7" fillId="11" borderId="17" xfId="0" applyFont="1" applyFill="1" applyBorder="1" applyAlignment="1">
      <alignment horizontal="center" vertical="center" wrapText="1"/>
    </xf>
    <xf numFmtId="0" fontId="7" fillId="11" borderId="19" xfId="0" applyFont="1" applyFill="1" applyBorder="1" applyAlignment="1">
      <alignment horizontal="center" vertical="center" wrapText="1"/>
    </xf>
    <xf numFmtId="2" fontId="13" fillId="11" borderId="17" xfId="0" applyNumberFormat="1" applyFont="1" applyFill="1" applyBorder="1" applyAlignment="1">
      <alignment horizontal="center"/>
    </xf>
    <xf numFmtId="2" fontId="13" fillId="11" borderId="19" xfId="0" applyNumberFormat="1" applyFont="1" applyFill="1" applyBorder="1" applyAlignment="1">
      <alignment horizontal="center"/>
    </xf>
    <xf numFmtId="0" fontId="7" fillId="11" borderId="8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2" fillId="11" borderId="1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9" fillId="11" borderId="0" xfId="0" applyFont="1" applyFill="1" applyAlignment="1">
      <alignment horizontal="center"/>
    </xf>
    <xf numFmtId="0" fontId="7" fillId="11" borderId="7" xfId="0" applyFont="1" applyFill="1" applyBorder="1" applyAlignment="1">
      <alignment horizontal="center"/>
    </xf>
    <xf numFmtId="0" fontId="7" fillId="11" borderId="15" xfId="0" applyFont="1" applyFill="1" applyBorder="1" applyAlignment="1">
      <alignment horizontal="center"/>
    </xf>
    <xf numFmtId="2" fontId="13" fillId="11" borderId="17" xfId="0" applyNumberFormat="1" applyFont="1" applyFill="1" applyBorder="1" applyAlignment="1">
      <alignment horizontal="center" vertical="center"/>
    </xf>
    <xf numFmtId="2" fontId="13" fillId="11" borderId="19" xfId="0" applyNumberFormat="1" applyFont="1" applyFill="1" applyBorder="1" applyAlignment="1">
      <alignment horizontal="center" vertical="center"/>
    </xf>
    <xf numFmtId="4" fontId="7" fillId="11" borderId="7" xfId="0" applyNumberFormat="1" applyFont="1" applyFill="1" applyBorder="1" applyAlignment="1">
      <alignment horizontal="center"/>
    </xf>
    <xf numFmtId="4" fontId="7" fillId="11" borderId="15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7" fillId="11" borderId="17" xfId="0" applyFont="1" applyFill="1" applyBorder="1" applyAlignment="1">
      <alignment horizontal="center" vertical="center"/>
    </xf>
    <xf numFmtId="0" fontId="7" fillId="11" borderId="1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2" fontId="13" fillId="11" borderId="17" xfId="0" applyNumberFormat="1" applyFont="1" applyFill="1" applyBorder="1" applyAlignment="1">
      <alignment horizontal="center" vertical="center" wrapText="1"/>
    </xf>
    <xf numFmtId="2" fontId="13" fillId="11" borderId="19" xfId="0" applyNumberFormat="1" applyFont="1" applyFill="1" applyBorder="1" applyAlignment="1">
      <alignment horizontal="center" vertical="center" wrapText="1"/>
    </xf>
    <xf numFmtId="2" fontId="7" fillId="11" borderId="17" xfId="0" applyNumberFormat="1" applyFont="1" applyFill="1" applyBorder="1" applyAlignment="1">
      <alignment horizontal="center" vertical="center"/>
    </xf>
    <xf numFmtId="2" fontId="7" fillId="11" borderId="19" xfId="0" applyNumberFormat="1" applyFont="1" applyFill="1" applyBorder="1" applyAlignment="1">
      <alignment horizontal="center" vertical="center"/>
    </xf>
    <xf numFmtId="4" fontId="7" fillId="11" borderId="24" xfId="0" applyNumberFormat="1" applyFont="1" applyFill="1" applyBorder="1" applyAlignment="1">
      <alignment horizontal="center"/>
    </xf>
    <xf numFmtId="0" fontId="7" fillId="11" borderId="24" xfId="0" applyFont="1" applyFill="1" applyBorder="1" applyAlignment="1">
      <alignment horizontal="center"/>
    </xf>
    <xf numFmtId="4" fontId="13" fillId="11" borderId="17" xfId="0" applyNumberFormat="1" applyFont="1" applyFill="1" applyBorder="1" applyAlignment="1">
      <alignment horizontal="center"/>
    </xf>
    <xf numFmtId="4" fontId="13" fillId="11" borderId="18" xfId="0" applyNumberFormat="1" applyFont="1" applyFill="1" applyBorder="1" applyAlignment="1">
      <alignment horizontal="center"/>
    </xf>
    <xf numFmtId="4" fontId="13" fillId="11" borderId="19" xfId="0" applyNumberFormat="1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 vertical="center"/>
    </xf>
    <xf numFmtId="2" fontId="7" fillId="11" borderId="18" xfId="0" applyNumberFormat="1" applyFont="1" applyFill="1" applyBorder="1" applyAlignment="1">
      <alignment horizontal="center" vertical="center"/>
    </xf>
    <xf numFmtId="164" fontId="9" fillId="11" borderId="24" xfId="3" applyNumberFormat="1" applyFont="1" applyFill="1" applyBorder="1" applyAlignment="1" applyProtection="1">
      <alignment horizontal="center" vertical="center"/>
      <protection locked="0"/>
    </xf>
    <xf numFmtId="164" fontId="9" fillId="11" borderId="24" xfId="3" applyFont="1" applyFill="1" applyBorder="1" applyAlignment="1" applyProtection="1">
      <alignment horizontal="center" vertical="center"/>
    </xf>
    <xf numFmtId="164" fontId="9" fillId="11" borderId="24" xfId="3" applyFont="1" applyFill="1" applyBorder="1" applyAlignment="1" applyProtection="1">
      <alignment horizontal="right" vertical="center"/>
    </xf>
    <xf numFmtId="4" fontId="9" fillId="11" borderId="24" xfId="0" applyNumberFormat="1" applyFont="1" applyFill="1" applyBorder="1" applyAlignment="1" applyProtection="1">
      <alignment horizontal="center" vertical="center"/>
      <protection locked="0"/>
    </xf>
    <xf numFmtId="164" fontId="9" fillId="11" borderId="24" xfId="3" applyFont="1" applyFill="1" applyBorder="1" applyAlignment="1" applyProtection="1">
      <alignment horizontal="right" vertical="center"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0" fontId="8" fillId="11" borderId="18" xfId="0" applyFont="1" applyFill="1" applyBorder="1" applyAlignment="1" applyProtection="1">
      <alignment horizontal="center" vertical="center" wrapText="1"/>
      <protection locked="0"/>
    </xf>
    <xf numFmtId="0" fontId="8" fillId="11" borderId="19" xfId="0" applyFont="1" applyFill="1" applyBorder="1" applyAlignment="1" applyProtection="1">
      <alignment horizontal="center" vertical="center" wrapText="1"/>
      <protection locked="0"/>
    </xf>
    <xf numFmtId="49" fontId="9" fillId="11" borderId="24" xfId="0" applyNumberFormat="1" applyFont="1" applyFill="1" applyBorder="1" applyAlignment="1" applyProtection="1">
      <alignment horizontal="center" vertical="center"/>
      <protection locked="0"/>
    </xf>
    <xf numFmtId="0" fontId="9" fillId="11" borderId="24" xfId="0" applyFont="1" applyFill="1" applyBorder="1" applyAlignment="1" applyProtection="1">
      <alignment horizontal="left" vertical="center" wrapText="1"/>
      <protection locked="0"/>
    </xf>
    <xf numFmtId="0" fontId="9" fillId="11" borderId="24" xfId="0" applyFont="1" applyFill="1" applyBorder="1" applyAlignment="1" applyProtection="1">
      <alignment horizontal="center" vertical="center"/>
      <protection locked="0"/>
    </xf>
    <xf numFmtId="164" fontId="8" fillId="11" borderId="17" xfId="3" applyFont="1" applyFill="1" applyBorder="1" applyAlignment="1" applyProtection="1">
      <alignment horizontal="left" vertical="center"/>
    </xf>
    <xf numFmtId="164" fontId="8" fillId="11" borderId="18" xfId="3" applyFont="1" applyFill="1" applyBorder="1" applyAlignment="1" applyProtection="1">
      <alignment horizontal="left" vertical="center"/>
    </xf>
    <xf numFmtId="164" fontId="8" fillId="11" borderId="19" xfId="3" applyFont="1" applyFill="1" applyBorder="1" applyAlignment="1" applyProtection="1">
      <alignment horizontal="left" vertical="center"/>
    </xf>
    <xf numFmtId="49" fontId="8" fillId="0" borderId="17" xfId="0" applyNumberFormat="1" applyFont="1" applyBorder="1" applyAlignment="1" applyProtection="1">
      <alignment vertical="center" wrapText="1"/>
    </xf>
    <xf numFmtId="49" fontId="8" fillId="0" borderId="18" xfId="0" applyNumberFormat="1" applyFont="1" applyBorder="1" applyAlignment="1" applyProtection="1">
      <alignment vertical="center" wrapText="1"/>
    </xf>
    <xf numFmtId="49" fontId="8" fillId="0" borderId="19" xfId="0" applyNumberFormat="1" applyFont="1" applyBorder="1" applyAlignment="1" applyProtection="1">
      <alignment vertical="center" wrapText="1"/>
    </xf>
    <xf numFmtId="43" fontId="8" fillId="0" borderId="17" xfId="0" applyNumberFormat="1" applyFont="1" applyBorder="1" applyAlignment="1" applyProtection="1">
      <alignment horizontal="center" vertical="center"/>
    </xf>
    <xf numFmtId="43" fontId="8" fillId="0" borderId="18" xfId="0" applyNumberFormat="1" applyFont="1" applyBorder="1" applyAlignment="1" applyProtection="1">
      <alignment horizontal="center" vertical="center"/>
    </xf>
    <xf numFmtId="43" fontId="8" fillId="0" borderId="19" xfId="0" applyNumberFormat="1" applyFont="1" applyBorder="1" applyAlignment="1" applyProtection="1">
      <alignment horizontal="center" vertical="center"/>
    </xf>
    <xf numFmtId="49" fontId="8" fillId="0" borderId="17" xfId="0" applyNumberFormat="1" applyFont="1" applyBorder="1" applyAlignment="1" applyProtection="1">
      <alignment vertical="center"/>
    </xf>
    <xf numFmtId="49" fontId="8" fillId="0" borderId="18" xfId="0" applyNumberFormat="1" applyFont="1" applyBorder="1" applyAlignment="1" applyProtection="1">
      <alignment vertical="center"/>
    </xf>
    <xf numFmtId="49" fontId="8" fillId="0" borderId="19" xfId="0" applyNumberFormat="1" applyFont="1" applyBorder="1" applyAlignment="1" applyProtection="1">
      <alignment vertical="center"/>
    </xf>
    <xf numFmtId="164" fontId="8" fillId="11" borderId="24" xfId="3" applyFont="1" applyFill="1" applyBorder="1" applyAlignment="1" applyProtection="1">
      <alignment horizontal="center" vertical="center"/>
    </xf>
    <xf numFmtId="0" fontId="9" fillId="11" borderId="24" xfId="3" applyNumberFormat="1" applyFont="1" applyFill="1" applyBorder="1" applyAlignment="1" applyProtection="1">
      <alignment horizontal="center" vertical="center"/>
    </xf>
    <xf numFmtId="164" fontId="9" fillId="11" borderId="17" xfId="3" applyFont="1" applyFill="1" applyBorder="1" applyAlignment="1" applyProtection="1">
      <alignment horizontal="left" vertical="center" wrapText="1"/>
    </xf>
    <xf numFmtId="164" fontId="9" fillId="11" borderId="18" xfId="3" applyFont="1" applyFill="1" applyBorder="1" applyAlignment="1" applyProtection="1">
      <alignment horizontal="left" vertical="center" wrapText="1"/>
    </xf>
    <xf numFmtId="164" fontId="9" fillId="11" borderId="19" xfId="3" applyFont="1" applyFill="1" applyBorder="1" applyAlignment="1" applyProtection="1">
      <alignment horizontal="left" vertical="center" wrapText="1"/>
    </xf>
    <xf numFmtId="4" fontId="9" fillId="11" borderId="24" xfId="3" applyNumberFormat="1" applyFont="1" applyFill="1" applyBorder="1" applyAlignment="1" applyProtection="1">
      <alignment horizontal="center" vertical="center"/>
    </xf>
    <xf numFmtId="49" fontId="9" fillId="11" borderId="17" xfId="0" applyNumberFormat="1" applyFont="1" applyFill="1" applyBorder="1" applyAlignment="1" applyProtection="1">
      <alignment horizontal="center" vertical="center"/>
      <protection locked="0"/>
    </xf>
    <xf numFmtId="49" fontId="9" fillId="11" borderId="19" xfId="0" applyNumberFormat="1" applyFont="1" applyFill="1" applyBorder="1" applyAlignment="1" applyProtection="1">
      <alignment horizontal="center" vertical="center"/>
      <protection locked="0"/>
    </xf>
    <xf numFmtId="0" fontId="9" fillId="11" borderId="17" xfId="0" applyFont="1" applyFill="1" applyBorder="1" applyAlignment="1" applyProtection="1">
      <alignment horizontal="left" vertical="center" wrapText="1"/>
      <protection locked="0"/>
    </xf>
    <xf numFmtId="0" fontId="9" fillId="11" borderId="18" xfId="0" applyFont="1" applyFill="1" applyBorder="1" applyAlignment="1" applyProtection="1">
      <alignment horizontal="left" vertical="center" wrapText="1"/>
      <protection locked="0"/>
    </xf>
    <xf numFmtId="0" fontId="9" fillId="11" borderId="19" xfId="0" applyFont="1" applyFill="1" applyBorder="1" applyAlignment="1" applyProtection="1">
      <alignment horizontal="left" vertical="center" wrapText="1"/>
      <protection locked="0"/>
    </xf>
    <xf numFmtId="0" fontId="9" fillId="11" borderId="17" xfId="0" applyFont="1" applyFill="1" applyBorder="1" applyAlignment="1" applyProtection="1">
      <alignment horizontal="center" vertical="center"/>
      <protection locked="0"/>
    </xf>
    <xf numFmtId="0" fontId="9" fillId="11" borderId="19" xfId="0" applyFont="1" applyFill="1" applyBorder="1" applyAlignment="1" applyProtection="1">
      <alignment horizontal="center" vertical="center"/>
      <protection locked="0"/>
    </xf>
    <xf numFmtId="4" fontId="9" fillId="11" borderId="17" xfId="0" applyNumberFormat="1" applyFont="1" applyFill="1" applyBorder="1" applyAlignment="1" applyProtection="1">
      <alignment horizontal="center" vertical="center"/>
      <protection locked="0"/>
    </xf>
    <xf numFmtId="4" fontId="9" fillId="11" borderId="18" xfId="0" applyNumberFormat="1" applyFont="1" applyFill="1" applyBorder="1" applyAlignment="1" applyProtection="1">
      <alignment horizontal="center" vertical="center"/>
      <protection locked="0"/>
    </xf>
    <xf numFmtId="4" fontId="9" fillId="11" borderId="19" xfId="0" applyNumberFormat="1" applyFont="1" applyFill="1" applyBorder="1" applyAlignment="1" applyProtection="1">
      <alignment horizontal="center" vertical="center"/>
      <protection locked="0"/>
    </xf>
    <xf numFmtId="164" fontId="9" fillId="11" borderId="17" xfId="3" applyNumberFormat="1" applyFont="1" applyFill="1" applyBorder="1" applyAlignment="1" applyProtection="1">
      <alignment horizontal="center" vertical="center"/>
      <protection locked="0"/>
    </xf>
    <xf numFmtId="164" fontId="9" fillId="11" borderId="18" xfId="3" applyNumberFormat="1" applyFont="1" applyFill="1" applyBorder="1" applyAlignment="1" applyProtection="1">
      <alignment horizontal="center" vertical="center"/>
      <protection locked="0"/>
    </xf>
    <xf numFmtId="164" fontId="9" fillId="11" borderId="19" xfId="3" applyNumberFormat="1" applyFont="1" applyFill="1" applyBorder="1" applyAlignment="1" applyProtection="1">
      <alignment horizontal="center" vertical="center"/>
      <protection locked="0"/>
    </xf>
    <xf numFmtId="164" fontId="9" fillId="11" borderId="17" xfId="3" applyFont="1" applyFill="1" applyBorder="1" applyAlignment="1" applyProtection="1">
      <alignment horizontal="center" vertical="center"/>
    </xf>
    <xf numFmtId="164" fontId="9" fillId="11" borderId="19" xfId="3" applyFont="1" applyFill="1" applyBorder="1" applyAlignment="1" applyProtection="1">
      <alignment horizontal="center" vertical="center"/>
    </xf>
    <xf numFmtId="164" fontId="9" fillId="11" borderId="18" xfId="3" applyFont="1" applyFill="1" applyBorder="1" applyAlignment="1" applyProtection="1">
      <alignment horizontal="center" vertical="center"/>
    </xf>
    <xf numFmtId="0" fontId="8" fillId="11" borderId="24" xfId="0" applyFont="1" applyFill="1" applyBorder="1" applyAlignment="1" applyProtection="1">
      <alignment horizontal="left" vertical="center" wrapText="1"/>
      <protection locked="0"/>
    </xf>
    <xf numFmtId="166" fontId="9" fillId="11" borderId="24" xfId="3" applyNumberFormat="1" applyFont="1" applyFill="1" applyBorder="1" applyAlignment="1" applyProtection="1">
      <alignment horizontal="center" vertical="center"/>
      <protection locked="0"/>
    </xf>
    <xf numFmtId="164" fontId="8" fillId="11" borderId="24" xfId="3" applyNumberFormat="1" applyFont="1" applyFill="1" applyBorder="1" applyAlignment="1" applyProtection="1">
      <alignment horizontal="center" vertical="center"/>
    </xf>
    <xf numFmtId="164" fontId="8" fillId="11" borderId="24" xfId="3" applyFont="1" applyFill="1" applyBorder="1" applyAlignment="1" applyProtection="1">
      <alignment horizontal="right" vertical="center"/>
    </xf>
    <xf numFmtId="164" fontId="9" fillId="11" borderId="24" xfId="3" applyFont="1" applyFill="1" applyBorder="1" applyAlignment="1" applyProtection="1">
      <alignment horizontal="center" vertical="center"/>
      <protection locked="0"/>
    </xf>
    <xf numFmtId="175" fontId="9" fillId="11" borderId="24" xfId="0" applyNumberFormat="1" applyFont="1" applyFill="1" applyBorder="1" applyAlignment="1" applyProtection="1">
      <alignment horizontal="center" vertical="center"/>
      <protection locked="0"/>
    </xf>
    <xf numFmtId="177" fontId="9" fillId="11" borderId="24" xfId="0" applyNumberFormat="1" applyFont="1" applyFill="1" applyBorder="1" applyAlignment="1" applyProtection="1">
      <alignment horizontal="center" vertical="center"/>
      <protection locked="0"/>
    </xf>
    <xf numFmtId="4" fontId="9" fillId="11" borderId="17" xfId="0" applyNumberFormat="1" applyFont="1" applyFill="1" applyBorder="1" applyAlignment="1" applyProtection="1">
      <alignment horizontal="right" vertical="center"/>
      <protection locked="0"/>
    </xf>
    <xf numFmtId="4" fontId="9" fillId="11" borderId="18" xfId="0" applyNumberFormat="1" applyFont="1" applyFill="1" applyBorder="1" applyAlignment="1" applyProtection="1">
      <alignment horizontal="right" vertical="center"/>
      <protection locked="0"/>
    </xf>
    <xf numFmtId="4" fontId="9" fillId="11" borderId="19" xfId="0" applyNumberFormat="1" applyFont="1" applyFill="1" applyBorder="1" applyAlignment="1" applyProtection="1">
      <alignment horizontal="right" vertical="center"/>
      <protection locked="0"/>
    </xf>
    <xf numFmtId="0" fontId="9" fillId="11" borderId="24" xfId="0" applyFont="1" applyFill="1" applyBorder="1" applyAlignment="1" applyProtection="1">
      <alignment horizontal="center" vertical="center" wrapText="1"/>
      <protection locked="0"/>
    </xf>
    <xf numFmtId="0" fontId="9" fillId="11" borderId="24" xfId="0" applyFont="1" applyFill="1" applyBorder="1" applyAlignment="1" applyProtection="1">
      <alignment vertical="center" wrapText="1"/>
      <protection locked="0"/>
    </xf>
    <xf numFmtId="49" fontId="9" fillId="11" borderId="24" xfId="0" applyNumberFormat="1" applyFont="1" applyFill="1" applyBorder="1" applyAlignment="1" applyProtection="1">
      <alignment horizontal="center" vertical="justify"/>
      <protection locked="0"/>
    </xf>
    <xf numFmtId="164" fontId="9" fillId="11" borderId="17" xfId="3" applyFont="1" applyFill="1" applyBorder="1" applyAlignment="1" applyProtection="1">
      <alignment horizontal="center" vertical="center"/>
      <protection locked="0"/>
    </xf>
    <xf numFmtId="164" fontId="9" fillId="11" borderId="18" xfId="3" applyFont="1" applyFill="1" applyBorder="1" applyAlignment="1" applyProtection="1">
      <alignment horizontal="center" vertical="center"/>
      <protection locked="0"/>
    </xf>
    <xf numFmtId="164" fontId="9" fillId="11" borderId="19" xfId="3" applyFont="1" applyFill="1" applyBorder="1" applyAlignment="1" applyProtection="1">
      <alignment horizontal="center" vertical="center"/>
      <protection locked="0"/>
    </xf>
    <xf numFmtId="49" fontId="43" fillId="11" borderId="24" xfId="0" applyNumberFormat="1" applyFont="1" applyFill="1" applyBorder="1" applyAlignment="1" applyProtection="1">
      <alignment horizontal="center" vertical="center"/>
      <protection locked="0"/>
    </xf>
    <xf numFmtId="0" fontId="43" fillId="11" borderId="24" xfId="0" applyFont="1" applyFill="1" applyBorder="1" applyAlignment="1" applyProtection="1">
      <alignment horizontal="left" vertical="center" wrapText="1"/>
      <protection locked="0"/>
    </xf>
    <xf numFmtId="0" fontId="43" fillId="11" borderId="24" xfId="0" applyFont="1" applyFill="1" applyBorder="1" applyAlignment="1" applyProtection="1">
      <alignment horizontal="center" vertical="center"/>
      <protection locked="0"/>
    </xf>
    <xf numFmtId="4" fontId="43" fillId="11" borderId="24" xfId="0" applyNumberFormat="1" applyFont="1" applyFill="1" applyBorder="1" applyAlignment="1" applyProtection="1">
      <alignment horizontal="center" vertical="center"/>
      <protection locked="0"/>
    </xf>
    <xf numFmtId="164" fontId="43" fillId="11" borderId="24" xfId="3" applyFont="1" applyFill="1" applyBorder="1" applyAlignment="1" applyProtection="1">
      <alignment horizontal="center" vertical="center"/>
      <protection locked="0"/>
    </xf>
    <xf numFmtId="164" fontId="43" fillId="11" borderId="24" xfId="3" applyFont="1" applyFill="1" applyBorder="1" applyAlignment="1" applyProtection="1">
      <alignment horizontal="right" vertical="center"/>
    </xf>
    <xf numFmtId="2" fontId="12" fillId="11" borderId="24" xfId="0" applyNumberFormat="1" applyFont="1" applyFill="1" applyBorder="1" applyAlignment="1" applyProtection="1">
      <alignment horizontal="left" vertical="center" wrapText="1"/>
      <protection locked="0"/>
    </xf>
    <xf numFmtId="0" fontId="12" fillId="11" borderId="24" xfId="0" applyFont="1" applyFill="1" applyBorder="1" applyAlignment="1">
      <alignment wrapText="1"/>
    </xf>
    <xf numFmtId="164" fontId="7" fillId="11" borderId="24" xfId="3" applyFont="1" applyFill="1" applyBorder="1" applyAlignment="1" applyProtection="1">
      <alignment horizontal="right" vertical="center"/>
    </xf>
    <xf numFmtId="0" fontId="8" fillId="11" borderId="24" xfId="0" applyFont="1" applyFill="1" applyBorder="1" applyAlignment="1">
      <alignment wrapText="1"/>
    </xf>
    <xf numFmtId="0" fontId="12" fillId="11" borderId="24" xfId="0" applyFont="1" applyFill="1" applyBorder="1" applyAlignment="1" applyProtection="1">
      <alignment horizontal="left" vertical="center" wrapText="1"/>
      <protection locked="0"/>
    </xf>
    <xf numFmtId="16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wrapText="1"/>
    </xf>
    <xf numFmtId="164" fontId="9" fillId="0" borderId="0" xfId="3" applyFont="1" applyAlignment="1" applyProtection="1">
      <alignment horizontal="center" vertical="center"/>
    </xf>
    <xf numFmtId="43" fontId="9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right" vertical="center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9" xfId="0" applyFont="1" applyFill="1" applyBorder="1" applyAlignment="1" applyProtection="1">
      <alignment horizontal="center" vertical="center"/>
      <protection locked="0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45" xfId="0" applyFont="1" applyFill="1" applyBorder="1" applyAlignment="1" applyProtection="1">
      <alignment horizontal="right" vertical="center" wrapText="1"/>
    </xf>
    <xf numFmtId="0" fontId="8" fillId="3" borderId="8" xfId="0" applyFont="1" applyFill="1" applyBorder="1" applyAlignment="1" applyProtection="1">
      <alignment horizontal="right" vertical="center" wrapText="1"/>
    </xf>
    <xf numFmtId="0" fontId="8" fillId="3" borderId="15" xfId="0" applyFont="1" applyFill="1" applyBorder="1" applyAlignment="1" applyProtection="1">
      <alignment horizontal="right" vertical="center" wrapText="1"/>
    </xf>
    <xf numFmtId="0" fontId="8" fillId="3" borderId="46" xfId="0" applyFont="1" applyFill="1" applyBorder="1" applyAlignment="1" applyProtection="1">
      <alignment horizontal="right" vertical="center" wrapText="1"/>
    </xf>
    <xf numFmtId="0" fontId="8" fillId="3" borderId="10" xfId="0" applyFont="1" applyFill="1" applyBorder="1" applyAlignment="1" applyProtection="1">
      <alignment horizontal="right" vertical="center" wrapText="1"/>
    </xf>
    <xf numFmtId="0" fontId="8" fillId="3" borderId="16" xfId="0" applyFont="1" applyFill="1" applyBorder="1" applyAlignment="1" applyProtection="1">
      <alignment horizontal="right" vertical="center" wrapText="1"/>
    </xf>
    <xf numFmtId="10" fontId="8" fillId="5" borderId="7" xfId="2" applyNumberFormat="1" applyFont="1" applyFill="1" applyBorder="1" applyAlignment="1" applyProtection="1">
      <alignment horizontal="center" vertical="center"/>
    </xf>
    <xf numFmtId="10" fontId="8" fillId="5" borderId="8" xfId="2" applyNumberFormat="1" applyFont="1" applyFill="1" applyBorder="1" applyAlignment="1" applyProtection="1">
      <alignment horizontal="center" vertical="center"/>
    </xf>
    <xf numFmtId="10" fontId="8" fillId="5" borderId="15" xfId="2" applyNumberFormat="1" applyFont="1" applyFill="1" applyBorder="1" applyAlignment="1" applyProtection="1">
      <alignment horizontal="center" vertical="center"/>
    </xf>
    <xf numFmtId="10" fontId="8" fillId="5" borderId="9" xfId="2" applyNumberFormat="1" applyFont="1" applyFill="1" applyBorder="1" applyAlignment="1" applyProtection="1">
      <alignment horizontal="center" vertical="center"/>
    </xf>
    <xf numFmtId="10" fontId="8" fillId="5" borderId="10" xfId="2" applyNumberFormat="1" applyFont="1" applyFill="1" applyBorder="1" applyAlignment="1" applyProtection="1">
      <alignment horizontal="center" vertical="center"/>
    </xf>
    <xf numFmtId="10" fontId="8" fillId="5" borderId="16" xfId="2" applyNumberFormat="1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16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9" fillId="4" borderId="16" xfId="0" applyFont="1" applyFill="1" applyBorder="1" applyAlignment="1" applyProtection="1">
      <alignment horizontal="left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 vertical="center"/>
      <protection locked="0"/>
    </xf>
    <xf numFmtId="165" fontId="9" fillId="4" borderId="9" xfId="0" applyNumberFormat="1" applyFont="1" applyFill="1" applyBorder="1" applyAlignment="1" applyProtection="1">
      <alignment horizontal="left" vertical="center"/>
      <protection locked="0"/>
    </xf>
    <xf numFmtId="165" fontId="9" fillId="4" borderId="10" xfId="0" applyNumberFormat="1" applyFont="1" applyFill="1" applyBorder="1" applyAlignment="1" applyProtection="1">
      <alignment horizontal="left" vertical="center"/>
      <protection locked="0"/>
    </xf>
    <xf numFmtId="165" fontId="9" fillId="4" borderId="16" xfId="0" applyNumberFormat="1" applyFont="1" applyFill="1" applyBorder="1" applyAlignment="1" applyProtection="1">
      <alignment horizontal="left" vertical="center"/>
      <protection locked="0"/>
    </xf>
    <xf numFmtId="165" fontId="8" fillId="4" borderId="9" xfId="0" applyNumberFormat="1" applyFont="1" applyFill="1" applyBorder="1" applyAlignment="1" applyProtection="1">
      <alignment horizontal="left" vertical="center"/>
      <protection locked="0"/>
    </xf>
    <xf numFmtId="165" fontId="8" fillId="4" borderId="10" xfId="0" applyNumberFormat="1" applyFont="1" applyFill="1" applyBorder="1" applyAlignment="1" applyProtection="1">
      <alignment horizontal="left" vertical="center"/>
      <protection locked="0"/>
    </xf>
    <xf numFmtId="165" fontId="8" fillId="4" borderId="16" xfId="0" applyNumberFormat="1" applyFont="1" applyFill="1" applyBorder="1" applyAlignment="1" applyProtection="1">
      <alignment horizontal="left" vertical="center"/>
      <protection locked="0"/>
    </xf>
    <xf numFmtId="10" fontId="9" fillId="0" borderId="12" xfId="0" applyNumberFormat="1" applyFont="1" applyBorder="1" applyAlignment="1" applyProtection="1">
      <alignment horizontal="center" vertical="center"/>
    </xf>
    <xf numFmtId="10" fontId="9" fillId="0" borderId="14" xfId="0" applyNumberFormat="1" applyFont="1" applyBorder="1" applyAlignment="1" applyProtection="1">
      <alignment horizontal="center" vertical="center"/>
    </xf>
    <xf numFmtId="10" fontId="9" fillId="0" borderId="20" xfId="0" applyNumberFormat="1" applyFont="1" applyBorder="1" applyAlignment="1" applyProtection="1">
      <alignment horizontal="center" vertical="center"/>
    </xf>
    <xf numFmtId="10" fontId="9" fillId="4" borderId="24" xfId="2" applyNumberFormat="1" applyFont="1" applyFill="1" applyBorder="1" applyAlignment="1" applyProtection="1">
      <alignment horizontal="right" vertical="center"/>
      <protection locked="0"/>
    </xf>
    <xf numFmtId="0" fontId="9" fillId="11" borderId="24" xfId="0" applyFont="1" applyFill="1" applyBorder="1" applyAlignment="1">
      <alignment wrapText="1"/>
    </xf>
    <xf numFmtId="0" fontId="9" fillId="11" borderId="24" xfId="0" applyFont="1" applyFill="1" applyBorder="1" applyAlignment="1" applyProtection="1">
      <alignment horizontal="right" vertical="center"/>
      <protection locked="0"/>
    </xf>
    <xf numFmtId="10" fontId="9" fillId="0" borderId="47" xfId="0" applyNumberFormat="1" applyFont="1" applyBorder="1" applyAlignment="1" applyProtection="1">
      <alignment horizontal="center" vertical="center"/>
    </xf>
    <xf numFmtId="0" fontId="8" fillId="3" borderId="48" xfId="0" applyFont="1" applyFill="1" applyBorder="1" applyAlignment="1" applyProtection="1">
      <alignment horizontal="center" vertical="center" textRotation="90"/>
    </xf>
    <xf numFmtId="0" fontId="8" fillId="3" borderId="49" xfId="0" applyFont="1" applyFill="1" applyBorder="1" applyAlignment="1" applyProtection="1">
      <alignment horizontal="center" vertical="center" textRotation="90"/>
    </xf>
    <xf numFmtId="0" fontId="8" fillId="3" borderId="32" xfId="0" applyFont="1" applyFill="1" applyBorder="1" applyAlignment="1" applyProtection="1">
      <alignment horizontal="center" vertical="center" textRotation="90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8" fillId="0" borderId="24" xfId="0" applyFont="1" applyBorder="1" applyAlignment="1" applyProtection="1">
      <alignment vertical="center"/>
    </xf>
    <xf numFmtId="43" fontId="8" fillId="0" borderId="24" xfId="0" applyNumberFormat="1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/>
    </xf>
    <xf numFmtId="170" fontId="17" fillId="3" borderId="43" xfId="0" applyNumberFormat="1" applyFont="1" applyFill="1" applyBorder="1" applyAlignment="1">
      <alignment horizontal="center"/>
    </xf>
    <xf numFmtId="170" fontId="17" fillId="3" borderId="23" xfId="0" applyNumberFormat="1" applyFont="1" applyFill="1" applyBorder="1" applyAlignment="1">
      <alignment horizontal="center"/>
    </xf>
    <xf numFmtId="49" fontId="17" fillId="0" borderId="64" xfId="0" applyNumberFormat="1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65" xfId="0" applyFont="1" applyBorder="1" applyAlignment="1">
      <alignment horizontal="left"/>
    </xf>
    <xf numFmtId="0" fontId="31" fillId="0" borderId="0" xfId="1" applyFont="1" applyFill="1" applyBorder="1" applyAlignment="1">
      <alignment horizontal="left" vertical="justify"/>
    </xf>
    <xf numFmtId="0" fontId="31" fillId="0" borderId="5" xfId="1" applyFont="1" applyFill="1" applyBorder="1" applyAlignment="1">
      <alignment horizontal="left" vertical="justify"/>
    </xf>
    <xf numFmtId="0" fontId="1" fillId="0" borderId="0" xfId="1" applyFont="1" applyBorder="1" applyAlignment="1">
      <alignment horizontal="center"/>
    </xf>
    <xf numFmtId="0" fontId="31" fillId="0" borderId="6" xfId="1" applyFont="1" applyFill="1" applyBorder="1" applyAlignment="1">
      <alignment horizontal="left" vertical="justify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1" fillId="0" borderId="24" xfId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2" fontId="10" fillId="0" borderId="0" xfId="4" applyNumberFormat="1" applyFont="1" applyAlignment="1">
      <alignment horizontal="center"/>
    </xf>
    <xf numFmtId="49" fontId="18" fillId="0" borderId="17" xfId="0" applyNumberFormat="1" applyFont="1" applyBorder="1" applyAlignment="1">
      <alignment horizontal="left"/>
    </xf>
    <xf numFmtId="49" fontId="18" fillId="0" borderId="19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18" fillId="0" borderId="19" xfId="0" applyFont="1" applyBorder="1" applyAlignment="1">
      <alignment horizontal="left" wrapText="1"/>
    </xf>
    <xf numFmtId="0" fontId="28" fillId="0" borderId="18" xfId="0" applyFont="1" applyFill="1" applyBorder="1" applyAlignment="1" applyProtection="1">
      <alignment horizontal="left"/>
    </xf>
    <xf numFmtId="0" fontId="10" fillId="0" borderId="18" xfId="0" applyFont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2" fontId="10" fillId="0" borderId="73" xfId="4" applyNumberFormat="1" applyFont="1" applyBorder="1" applyAlignment="1">
      <alignment horizontal="center"/>
    </xf>
    <xf numFmtId="2" fontId="10" fillId="0" borderId="72" xfId="4" applyNumberFormat="1" applyFont="1" applyBorder="1" applyAlignment="1">
      <alignment horizontal="center"/>
    </xf>
    <xf numFmtId="2" fontId="10" fillId="0" borderId="74" xfId="4" applyNumberFormat="1" applyFont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15" fillId="0" borderId="6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60" xfId="0" applyFont="1" applyBorder="1" applyAlignment="1">
      <alignment horizontal="center"/>
    </xf>
  </cellXfs>
  <cellStyles count="7">
    <cellStyle name="Hiperlink" xfId="6" builtinId="8"/>
    <cellStyle name="Normal" xfId="0" builtinId="0"/>
    <cellStyle name="Normal 2" xfId="1"/>
    <cellStyle name="Normal_Plan1" xfId="4"/>
    <cellStyle name="Porcentagem" xfId="2" builtinId="5"/>
    <cellStyle name="Vírgula" xfId="3" builtinId="3"/>
    <cellStyle name="Vírgula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3C4C5"/>
      <color rgb="FFFAD706"/>
      <color rgb="FF6CFC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9230" name="Oval 1"/>
        <xdr:cNvSpPr>
          <a:spLocks noChangeArrowheads="1"/>
        </xdr:cNvSpPr>
      </xdr:nvSpPr>
      <xdr:spPr bwMode="auto">
        <a:xfrm>
          <a:off x="8648700" y="21050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9231" name="Desenhando 59"/>
        <xdr:cNvSpPr>
          <a:spLocks/>
        </xdr:cNvSpPr>
      </xdr:nvSpPr>
      <xdr:spPr bwMode="auto">
        <a:xfrm>
          <a:off x="10220325" y="21050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9232" name="Rectangle 3"/>
        <xdr:cNvSpPr>
          <a:spLocks noChangeArrowheads="1"/>
        </xdr:cNvSpPr>
      </xdr:nvSpPr>
      <xdr:spPr bwMode="auto">
        <a:xfrm>
          <a:off x="10220325" y="2105025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macro="" textlink="" fLocksText="0">
      <xdr:nvSpPr>
        <xdr:cNvPr id="3076" name="Text Box 4"/>
        <xdr:cNvSpPr txBox="1">
          <a:spLocks noChangeArrowheads="1"/>
        </xdr:cNvSpPr>
      </xdr:nvSpPr>
      <xdr:spPr bwMode="auto">
        <a:xfrm>
          <a:off x="1704975" y="2105025"/>
          <a:ext cx="800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92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0"/>
          <a:ext cx="28194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22</xdr:col>
      <xdr:colOff>228600</xdr:colOff>
      <xdr:row>16</xdr:row>
      <xdr:rowOff>38100</xdr:rowOff>
    </xdr:to>
    <xdr:pic>
      <xdr:nvPicPr>
        <xdr:cNvPr id="9235" name="OptionButt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0" y="2066925"/>
          <a:ext cx="20288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152400</xdr:colOff>
      <xdr:row>16</xdr:row>
      <xdr:rowOff>38100</xdr:rowOff>
    </xdr:to>
    <xdr:pic>
      <xdr:nvPicPr>
        <xdr:cNvPr id="9236" name="OptionButt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534275" y="2066925"/>
          <a:ext cx="1524000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19050</xdr:rowOff>
    </xdr:from>
    <xdr:to>
      <xdr:col>3</xdr:col>
      <xdr:colOff>85725</xdr:colOff>
      <xdr:row>3</xdr:row>
      <xdr:rowOff>142875</xdr:rowOff>
    </xdr:to>
    <xdr:pic>
      <xdr:nvPicPr>
        <xdr:cNvPr id="4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9550"/>
          <a:ext cx="1657350" cy="504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</xdr:row>
      <xdr:rowOff>19050</xdr:rowOff>
    </xdr:from>
    <xdr:to>
      <xdr:col>3</xdr:col>
      <xdr:colOff>85725</xdr:colOff>
      <xdr:row>3</xdr:row>
      <xdr:rowOff>142875</xdr:rowOff>
    </xdr:to>
    <xdr:pic>
      <xdr:nvPicPr>
        <xdr:cNvPr id="5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09550"/>
          <a:ext cx="1657350" cy="5048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109904</xdr:rowOff>
    </xdr:from>
    <xdr:to>
      <xdr:col>2</xdr:col>
      <xdr:colOff>373673</xdr:colOff>
      <xdr:row>6</xdr:row>
      <xdr:rowOff>73269</xdr:rowOff>
    </xdr:to>
    <xdr:sp macro="" textlink="">
      <xdr:nvSpPr>
        <xdr:cNvPr id="2" name="Elipse 1"/>
        <xdr:cNvSpPr/>
      </xdr:nvSpPr>
      <xdr:spPr bwMode="auto">
        <a:xfrm>
          <a:off x="1238250" y="1595804"/>
          <a:ext cx="468923" cy="28721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175850</xdr:colOff>
      <xdr:row>5</xdr:row>
      <xdr:rowOff>73269</xdr:rowOff>
    </xdr:from>
    <xdr:to>
      <xdr:col>1</xdr:col>
      <xdr:colOff>344366</xdr:colOff>
      <xdr:row>6</xdr:row>
      <xdr:rowOff>65942</xdr:rowOff>
    </xdr:to>
    <xdr:sp macro="" textlink="">
      <xdr:nvSpPr>
        <xdr:cNvPr id="3" name="Fluxograma: Conector 2"/>
        <xdr:cNvSpPr/>
      </xdr:nvSpPr>
      <xdr:spPr bwMode="auto">
        <a:xfrm>
          <a:off x="842600" y="1721094"/>
          <a:ext cx="168516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355353</xdr:colOff>
      <xdr:row>5</xdr:row>
      <xdr:rowOff>14653</xdr:rowOff>
    </xdr:from>
    <xdr:ext cx="872483" cy="264560"/>
    <xdr:sp macro="" textlink="">
      <xdr:nvSpPr>
        <xdr:cNvPr id="4" name="CaixaDeTexto 3"/>
        <xdr:cNvSpPr txBox="1"/>
      </xdr:nvSpPr>
      <xdr:spPr>
        <a:xfrm>
          <a:off x="1022103" y="1662478"/>
          <a:ext cx="87248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RANCHARIA</a:t>
          </a:r>
        </a:p>
      </xdr:txBody>
    </xdr:sp>
    <xdr:clientData/>
  </xdr:oneCellAnchor>
  <xdr:twoCellAnchor>
    <xdr:from>
      <xdr:col>1</xdr:col>
      <xdr:colOff>154284</xdr:colOff>
      <xdr:row>18</xdr:row>
      <xdr:rowOff>159727</xdr:rowOff>
    </xdr:from>
    <xdr:to>
      <xdr:col>1</xdr:col>
      <xdr:colOff>322800</xdr:colOff>
      <xdr:row>19</xdr:row>
      <xdr:rowOff>152400</xdr:rowOff>
    </xdr:to>
    <xdr:sp macro="" textlink="">
      <xdr:nvSpPr>
        <xdr:cNvPr id="5" name="Fluxograma: Conector 4"/>
        <xdr:cNvSpPr/>
      </xdr:nvSpPr>
      <xdr:spPr bwMode="auto">
        <a:xfrm>
          <a:off x="821034" y="4141177"/>
          <a:ext cx="168516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</xdr:col>
      <xdr:colOff>294581</xdr:colOff>
      <xdr:row>18</xdr:row>
      <xdr:rowOff>103267</xdr:rowOff>
    </xdr:from>
    <xdr:ext cx="1579728" cy="264560"/>
    <xdr:sp macro="" textlink="">
      <xdr:nvSpPr>
        <xdr:cNvPr id="6" name="CaixaDeTexto 5"/>
        <xdr:cNvSpPr txBox="1"/>
      </xdr:nvSpPr>
      <xdr:spPr>
        <a:xfrm>
          <a:off x="961331" y="4084717"/>
          <a:ext cx="157972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SÃO JOÃO DAS MISSÕES</a:t>
          </a:r>
        </a:p>
      </xdr:txBody>
    </xdr:sp>
    <xdr:clientData/>
  </xdr:oneCellAnchor>
  <xdr:twoCellAnchor>
    <xdr:from>
      <xdr:col>1</xdr:col>
      <xdr:colOff>267067</xdr:colOff>
      <xdr:row>13</xdr:row>
      <xdr:rowOff>187258</xdr:rowOff>
    </xdr:from>
    <xdr:to>
      <xdr:col>1</xdr:col>
      <xdr:colOff>500699</xdr:colOff>
      <xdr:row>13</xdr:row>
      <xdr:rowOff>188846</xdr:rowOff>
    </xdr:to>
    <xdr:cxnSp macro="">
      <xdr:nvCxnSpPr>
        <xdr:cNvPr id="7" name="Conector reto 6"/>
        <xdr:cNvCxnSpPr/>
      </xdr:nvCxnSpPr>
      <xdr:spPr bwMode="auto">
        <a:xfrm>
          <a:off x="933817" y="3130483"/>
          <a:ext cx="233632" cy="158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361949</xdr:colOff>
      <xdr:row>9</xdr:row>
      <xdr:rowOff>139211</xdr:rowOff>
    </xdr:from>
    <xdr:ext cx="2276476" cy="394189"/>
    <xdr:sp macro="" textlink="">
      <xdr:nvSpPr>
        <xdr:cNvPr id="8" name="CaixaDeTexto 7"/>
        <xdr:cNvSpPr txBox="1"/>
      </xdr:nvSpPr>
      <xdr:spPr>
        <a:xfrm>
          <a:off x="1028699" y="2434736"/>
          <a:ext cx="2276476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Jazida de cascalho</a:t>
          </a:r>
        </a:p>
        <a:p>
          <a:r>
            <a:rPr lang="pt-BR" sz="1100"/>
            <a:t> 15°57'7.90"S </a:t>
          </a:r>
          <a:r>
            <a:rPr lang="pt-BR" sz="1100" baseline="0"/>
            <a:t> E   44°18'39.63"O</a:t>
          </a:r>
          <a:endParaRPr lang="pt-BR" sz="1100"/>
        </a:p>
      </xdr:txBody>
    </xdr:sp>
    <xdr:clientData/>
  </xdr:oneCellAnchor>
  <xdr:twoCellAnchor>
    <xdr:from>
      <xdr:col>6</xdr:col>
      <xdr:colOff>599346</xdr:colOff>
      <xdr:row>4</xdr:row>
      <xdr:rowOff>137747</xdr:rowOff>
    </xdr:from>
    <xdr:to>
      <xdr:col>7</xdr:col>
      <xdr:colOff>159728</xdr:colOff>
      <xdr:row>5</xdr:row>
      <xdr:rowOff>130419</xdr:rowOff>
    </xdr:to>
    <xdr:sp macro="" textlink="">
      <xdr:nvSpPr>
        <xdr:cNvPr id="9" name="Fluxograma: Conector 8"/>
        <xdr:cNvSpPr/>
      </xdr:nvSpPr>
      <xdr:spPr bwMode="auto">
        <a:xfrm>
          <a:off x="4599846" y="1623647"/>
          <a:ext cx="227132" cy="154597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583227</xdr:colOff>
      <xdr:row>18</xdr:row>
      <xdr:rowOff>136281</xdr:rowOff>
    </xdr:from>
    <xdr:to>
      <xdr:col>7</xdr:col>
      <xdr:colOff>143609</xdr:colOff>
      <xdr:row>19</xdr:row>
      <xdr:rowOff>128954</xdr:rowOff>
    </xdr:to>
    <xdr:sp macro="" textlink="">
      <xdr:nvSpPr>
        <xdr:cNvPr id="10" name="Fluxograma: Conector 9"/>
        <xdr:cNvSpPr/>
      </xdr:nvSpPr>
      <xdr:spPr bwMode="auto">
        <a:xfrm>
          <a:off x="4583727" y="4117731"/>
          <a:ext cx="227132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296745</xdr:colOff>
      <xdr:row>25</xdr:row>
      <xdr:rowOff>146536</xdr:rowOff>
    </xdr:from>
    <xdr:to>
      <xdr:col>1</xdr:col>
      <xdr:colOff>465261</xdr:colOff>
      <xdr:row>26</xdr:row>
      <xdr:rowOff>139209</xdr:rowOff>
    </xdr:to>
    <xdr:sp macro="" textlink="">
      <xdr:nvSpPr>
        <xdr:cNvPr id="11" name="Fluxograma: Conector 10"/>
        <xdr:cNvSpPr/>
      </xdr:nvSpPr>
      <xdr:spPr bwMode="auto">
        <a:xfrm>
          <a:off x="963495" y="5328136"/>
          <a:ext cx="168516" cy="17364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67095</xdr:colOff>
      <xdr:row>5</xdr:row>
      <xdr:rowOff>130420</xdr:rowOff>
    </xdr:from>
    <xdr:to>
      <xdr:col>7</xdr:col>
      <xdr:colOff>75470</xdr:colOff>
      <xdr:row>19</xdr:row>
      <xdr:rowOff>70338</xdr:rowOff>
    </xdr:to>
    <xdr:cxnSp macro="">
      <xdr:nvCxnSpPr>
        <xdr:cNvPr id="12" name="Conector reto 11"/>
        <xdr:cNvCxnSpPr>
          <a:stCxn id="9" idx="4"/>
        </xdr:cNvCxnSpPr>
      </xdr:nvCxnSpPr>
      <xdr:spPr bwMode="auto">
        <a:xfrm rot="5400000">
          <a:off x="3520799" y="2991791"/>
          <a:ext cx="24354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225666</xdr:colOff>
      <xdr:row>4</xdr:row>
      <xdr:rowOff>80596</xdr:rowOff>
    </xdr:from>
    <xdr:ext cx="1012584" cy="264560"/>
    <xdr:sp macro="" textlink="">
      <xdr:nvSpPr>
        <xdr:cNvPr id="13" name="CaixaDeTexto 12"/>
        <xdr:cNvSpPr txBox="1"/>
      </xdr:nvSpPr>
      <xdr:spPr>
        <a:xfrm>
          <a:off x="4892916" y="156649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</a:t>
          </a:r>
          <a:r>
            <a:rPr lang="pt-BR" sz="1100" baseline="0"/>
            <a:t> Claros </a:t>
          </a:r>
          <a:endParaRPr lang="pt-BR" sz="1100"/>
        </a:p>
      </xdr:txBody>
    </xdr:sp>
    <xdr:clientData/>
  </xdr:oneCellAnchor>
  <xdr:oneCellAnchor>
    <xdr:from>
      <xdr:col>7</xdr:col>
      <xdr:colOff>136277</xdr:colOff>
      <xdr:row>18</xdr:row>
      <xdr:rowOff>81328</xdr:rowOff>
    </xdr:from>
    <xdr:ext cx="1012584" cy="264560"/>
    <xdr:sp macro="" textlink="">
      <xdr:nvSpPr>
        <xdr:cNvPr id="14" name="CaixaDeTexto 13"/>
        <xdr:cNvSpPr txBox="1"/>
      </xdr:nvSpPr>
      <xdr:spPr>
        <a:xfrm>
          <a:off x="4803527" y="4062778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Janaúba</a:t>
          </a:r>
        </a:p>
      </xdr:txBody>
    </xdr:sp>
    <xdr:clientData/>
  </xdr:oneCellAnchor>
  <xdr:oneCellAnchor>
    <xdr:from>
      <xdr:col>5</xdr:col>
      <xdr:colOff>34695</xdr:colOff>
      <xdr:row>9</xdr:row>
      <xdr:rowOff>68364</xdr:rowOff>
    </xdr:from>
    <xdr:ext cx="1022011" cy="264560"/>
    <xdr:sp macro="" textlink="">
      <xdr:nvSpPr>
        <xdr:cNvPr id="16" name="CaixaDeTexto 15"/>
        <xdr:cNvSpPr txBox="1"/>
      </xdr:nvSpPr>
      <xdr:spPr>
        <a:xfrm>
          <a:off x="3368445" y="2363889"/>
          <a:ext cx="102201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pt-BR" sz="1100"/>
            <a:t>Jazida de areia</a:t>
          </a:r>
        </a:p>
      </xdr:txBody>
    </xdr:sp>
    <xdr:clientData/>
  </xdr:oneCellAnchor>
  <xdr:oneCellAnchor>
    <xdr:from>
      <xdr:col>6</xdr:col>
      <xdr:colOff>377345</xdr:colOff>
      <xdr:row>11</xdr:row>
      <xdr:rowOff>70336</xdr:rowOff>
    </xdr:from>
    <xdr:ext cx="356893" cy="515989"/>
    <xdr:sp macro="" textlink="">
      <xdr:nvSpPr>
        <xdr:cNvPr id="17" name="CaixaDeTexto 16"/>
        <xdr:cNvSpPr txBox="1"/>
      </xdr:nvSpPr>
      <xdr:spPr>
        <a:xfrm>
          <a:off x="4377845" y="2022961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135 km</a:t>
          </a:r>
        </a:p>
      </xdr:txBody>
    </xdr:sp>
    <xdr:clientData/>
  </xdr:oneCellAnchor>
  <xdr:twoCellAnchor>
    <xdr:from>
      <xdr:col>1</xdr:col>
      <xdr:colOff>309934</xdr:colOff>
      <xdr:row>30</xdr:row>
      <xdr:rowOff>27842</xdr:rowOff>
    </xdr:from>
    <xdr:to>
      <xdr:col>1</xdr:col>
      <xdr:colOff>478450</xdr:colOff>
      <xdr:row>31</xdr:row>
      <xdr:rowOff>20515</xdr:rowOff>
    </xdr:to>
    <xdr:sp macro="" textlink="">
      <xdr:nvSpPr>
        <xdr:cNvPr id="18" name="Fluxograma: Conector 17"/>
        <xdr:cNvSpPr/>
      </xdr:nvSpPr>
      <xdr:spPr bwMode="auto">
        <a:xfrm>
          <a:off x="976684" y="6133367"/>
          <a:ext cx="168516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281358</xdr:colOff>
      <xdr:row>38</xdr:row>
      <xdr:rowOff>24914</xdr:rowOff>
    </xdr:from>
    <xdr:to>
      <xdr:col>1</xdr:col>
      <xdr:colOff>449874</xdr:colOff>
      <xdr:row>39</xdr:row>
      <xdr:rowOff>17586</xdr:rowOff>
    </xdr:to>
    <xdr:sp macro="" textlink="">
      <xdr:nvSpPr>
        <xdr:cNvPr id="19" name="Fluxograma: Conector 18"/>
        <xdr:cNvSpPr/>
      </xdr:nvSpPr>
      <xdr:spPr bwMode="auto">
        <a:xfrm>
          <a:off x="948108" y="7425839"/>
          <a:ext cx="168516" cy="154597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360184</xdr:colOff>
      <xdr:row>26</xdr:row>
      <xdr:rowOff>68320</xdr:rowOff>
    </xdr:from>
    <xdr:to>
      <xdr:col>7</xdr:col>
      <xdr:colOff>525799</xdr:colOff>
      <xdr:row>27</xdr:row>
      <xdr:rowOff>11384</xdr:rowOff>
    </xdr:to>
    <xdr:sp macro="" textlink="">
      <xdr:nvSpPr>
        <xdr:cNvPr id="20" name="Fluxograma: Conector 19"/>
        <xdr:cNvSpPr/>
      </xdr:nvSpPr>
      <xdr:spPr bwMode="auto">
        <a:xfrm>
          <a:off x="5027434" y="5430895"/>
          <a:ext cx="165615" cy="15261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47</xdr:row>
      <xdr:rowOff>51078</xdr:rowOff>
    </xdr:from>
    <xdr:to>
      <xdr:col>0</xdr:col>
      <xdr:colOff>444231</xdr:colOff>
      <xdr:row>48</xdr:row>
      <xdr:rowOff>43751</xdr:rowOff>
    </xdr:to>
    <xdr:sp macro="" textlink="">
      <xdr:nvSpPr>
        <xdr:cNvPr id="21" name="Fluxograma: Conector 20"/>
        <xdr:cNvSpPr/>
      </xdr:nvSpPr>
      <xdr:spPr bwMode="auto">
        <a:xfrm>
          <a:off x="278733" y="8909328"/>
          <a:ext cx="165498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382593</xdr:colOff>
      <xdr:row>32</xdr:row>
      <xdr:rowOff>10591</xdr:rowOff>
    </xdr:from>
    <xdr:to>
      <xdr:col>7</xdr:col>
      <xdr:colOff>548208</xdr:colOff>
      <xdr:row>33</xdr:row>
      <xdr:rowOff>3264</xdr:rowOff>
    </xdr:to>
    <xdr:sp macro="" textlink="">
      <xdr:nvSpPr>
        <xdr:cNvPr id="22" name="Fluxograma: Conector 21"/>
        <xdr:cNvSpPr/>
      </xdr:nvSpPr>
      <xdr:spPr bwMode="auto">
        <a:xfrm>
          <a:off x="5049843" y="6439966"/>
          <a:ext cx="165615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457452</xdr:colOff>
      <xdr:row>26</xdr:row>
      <xdr:rowOff>182689</xdr:rowOff>
    </xdr:from>
    <xdr:to>
      <xdr:col>7</xdr:col>
      <xdr:colOff>493036</xdr:colOff>
      <xdr:row>40</xdr:row>
      <xdr:rowOff>85516</xdr:rowOff>
    </xdr:to>
    <xdr:cxnSp macro="">
      <xdr:nvCxnSpPr>
        <xdr:cNvPr id="23" name="Conector reto 22"/>
        <xdr:cNvCxnSpPr/>
      </xdr:nvCxnSpPr>
      <xdr:spPr bwMode="auto">
        <a:xfrm rot="16200000" flipH="1">
          <a:off x="4009980" y="6659986"/>
          <a:ext cx="226502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573389</xdr:colOff>
      <xdr:row>25</xdr:row>
      <xdr:rowOff>87619</xdr:rowOff>
    </xdr:from>
    <xdr:ext cx="1012584" cy="264560"/>
    <xdr:sp macro="" textlink="">
      <xdr:nvSpPr>
        <xdr:cNvPr id="24" name="CaixaDeTexto 23"/>
        <xdr:cNvSpPr txBox="1"/>
      </xdr:nvSpPr>
      <xdr:spPr>
        <a:xfrm>
          <a:off x="1240139" y="5269219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</a:t>
          </a:r>
          <a:r>
            <a:rPr lang="pt-BR" sz="1100" baseline="0"/>
            <a:t> claros</a:t>
          </a:r>
          <a:endParaRPr lang="pt-BR" sz="1100"/>
        </a:p>
      </xdr:txBody>
    </xdr:sp>
    <xdr:clientData/>
  </xdr:oneCellAnchor>
  <xdr:oneCellAnchor>
    <xdr:from>
      <xdr:col>8</xdr:col>
      <xdr:colOff>1492</xdr:colOff>
      <xdr:row>26</xdr:row>
      <xdr:rowOff>11815</xdr:rowOff>
    </xdr:from>
    <xdr:ext cx="1012584" cy="436786"/>
    <xdr:sp macro="" textlink="">
      <xdr:nvSpPr>
        <xdr:cNvPr id="25" name="CaixaDeTexto 24"/>
        <xdr:cNvSpPr txBox="1"/>
      </xdr:nvSpPr>
      <xdr:spPr>
        <a:xfrm>
          <a:off x="5335492" y="4679065"/>
          <a:ext cx="101258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SÃO JOÃO DAS MISSÕES</a:t>
          </a:r>
        </a:p>
      </xdr:txBody>
    </xdr:sp>
    <xdr:clientData/>
  </xdr:oneCellAnchor>
  <xdr:oneCellAnchor>
    <xdr:from>
      <xdr:col>1</xdr:col>
      <xdr:colOff>457103</xdr:colOff>
      <xdr:row>38</xdr:row>
      <xdr:rowOff>153501</xdr:rowOff>
    </xdr:from>
    <xdr:ext cx="1274858" cy="264560"/>
    <xdr:sp macro="" textlink="">
      <xdr:nvSpPr>
        <xdr:cNvPr id="27" name="CaixaDeTexto 26"/>
        <xdr:cNvSpPr txBox="1"/>
      </xdr:nvSpPr>
      <xdr:spPr>
        <a:xfrm>
          <a:off x="1123853" y="7554426"/>
          <a:ext cx="127485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CROS</a:t>
          </a:r>
        </a:p>
      </xdr:txBody>
    </xdr:sp>
    <xdr:clientData/>
  </xdr:oneCellAnchor>
  <xdr:twoCellAnchor>
    <xdr:from>
      <xdr:col>1</xdr:col>
      <xdr:colOff>387965</xdr:colOff>
      <xdr:row>37</xdr:row>
      <xdr:rowOff>155733</xdr:rowOff>
    </xdr:from>
    <xdr:to>
      <xdr:col>2</xdr:col>
      <xdr:colOff>114300</xdr:colOff>
      <xdr:row>38</xdr:row>
      <xdr:rowOff>9525</xdr:rowOff>
    </xdr:to>
    <xdr:cxnSp macro="">
      <xdr:nvCxnSpPr>
        <xdr:cNvPr id="28" name="Conector reto 27"/>
        <xdr:cNvCxnSpPr/>
      </xdr:nvCxnSpPr>
      <xdr:spPr bwMode="auto">
        <a:xfrm>
          <a:off x="1054715" y="7394733"/>
          <a:ext cx="393085" cy="15717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515938</xdr:colOff>
      <xdr:row>26</xdr:row>
      <xdr:rowOff>53180</xdr:rowOff>
    </xdr:from>
    <xdr:to>
      <xdr:col>1</xdr:col>
      <xdr:colOff>231776</xdr:colOff>
      <xdr:row>26</xdr:row>
      <xdr:rowOff>59531</xdr:rowOff>
    </xdr:to>
    <xdr:cxnSp macro="">
      <xdr:nvCxnSpPr>
        <xdr:cNvPr id="29" name="Conector reto 28"/>
        <xdr:cNvCxnSpPr/>
      </xdr:nvCxnSpPr>
      <xdr:spPr bwMode="auto">
        <a:xfrm flipV="1">
          <a:off x="515938" y="5415755"/>
          <a:ext cx="382588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469900</xdr:colOff>
      <xdr:row>26</xdr:row>
      <xdr:rowOff>165888</xdr:rowOff>
    </xdr:from>
    <xdr:to>
      <xdr:col>7</xdr:col>
      <xdr:colOff>185737</xdr:colOff>
      <xdr:row>26</xdr:row>
      <xdr:rowOff>172239</xdr:rowOff>
    </xdr:to>
    <xdr:cxnSp macro="">
      <xdr:nvCxnSpPr>
        <xdr:cNvPr id="30" name="Conector reto 29"/>
        <xdr:cNvCxnSpPr/>
      </xdr:nvCxnSpPr>
      <xdr:spPr bwMode="auto">
        <a:xfrm flipV="1">
          <a:off x="4470400" y="5528463"/>
          <a:ext cx="38258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513158</xdr:colOff>
      <xdr:row>38</xdr:row>
      <xdr:rowOff>99230</xdr:rowOff>
    </xdr:from>
    <xdr:to>
      <xdr:col>1</xdr:col>
      <xdr:colOff>228996</xdr:colOff>
      <xdr:row>38</xdr:row>
      <xdr:rowOff>105581</xdr:rowOff>
    </xdr:to>
    <xdr:cxnSp macro="">
      <xdr:nvCxnSpPr>
        <xdr:cNvPr id="31" name="Conector reto 30"/>
        <xdr:cNvCxnSpPr/>
      </xdr:nvCxnSpPr>
      <xdr:spPr bwMode="auto">
        <a:xfrm flipV="1">
          <a:off x="513158" y="7500155"/>
          <a:ext cx="382588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407058</xdr:colOff>
      <xdr:row>30</xdr:row>
      <xdr:rowOff>137745</xdr:rowOff>
    </xdr:from>
    <xdr:ext cx="356893" cy="515989"/>
    <xdr:sp macro="" textlink="">
      <xdr:nvSpPr>
        <xdr:cNvPr id="32" name="CaixaDeTexto 31"/>
        <xdr:cNvSpPr txBox="1"/>
      </xdr:nvSpPr>
      <xdr:spPr>
        <a:xfrm>
          <a:off x="407058" y="5535245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10</a:t>
          </a:r>
          <a:r>
            <a:rPr lang="pt-BR" sz="1100" baseline="0"/>
            <a:t> </a:t>
          </a:r>
          <a:r>
            <a:rPr lang="pt-BR" sz="1100"/>
            <a:t>km</a:t>
          </a:r>
        </a:p>
      </xdr:txBody>
    </xdr:sp>
    <xdr:clientData/>
  </xdr:oneCellAnchor>
  <xdr:oneCellAnchor>
    <xdr:from>
      <xdr:col>1</xdr:col>
      <xdr:colOff>423332</xdr:colOff>
      <xdr:row>35</xdr:row>
      <xdr:rowOff>141714</xdr:rowOff>
    </xdr:from>
    <xdr:ext cx="660933" cy="264560"/>
    <xdr:sp macro="" textlink="">
      <xdr:nvSpPr>
        <xdr:cNvPr id="33" name="CaixaDeTexto 32"/>
        <xdr:cNvSpPr txBox="1"/>
      </xdr:nvSpPr>
      <xdr:spPr>
        <a:xfrm>
          <a:off x="1090082" y="7056864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141195</xdr:colOff>
      <xdr:row>37</xdr:row>
      <xdr:rowOff>35629</xdr:rowOff>
    </xdr:from>
    <xdr:ext cx="801384" cy="264560"/>
    <xdr:sp macro="" textlink="">
      <xdr:nvSpPr>
        <xdr:cNvPr id="34" name="CaixaDeTexto 33"/>
        <xdr:cNvSpPr txBox="1"/>
      </xdr:nvSpPr>
      <xdr:spPr>
        <a:xfrm>
          <a:off x="1474695" y="7274629"/>
          <a:ext cx="8013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Britador</a:t>
          </a:r>
        </a:p>
      </xdr:txBody>
    </xdr:sp>
    <xdr:clientData/>
  </xdr:oneCellAnchor>
  <xdr:oneCellAnchor>
    <xdr:from>
      <xdr:col>7</xdr:col>
      <xdr:colOff>550765</xdr:colOff>
      <xdr:row>31</xdr:row>
      <xdr:rowOff>104685</xdr:rowOff>
    </xdr:from>
    <xdr:ext cx="1012584" cy="436786"/>
    <xdr:sp macro="" textlink="">
      <xdr:nvSpPr>
        <xdr:cNvPr id="35" name="CaixaDeTexto 34"/>
        <xdr:cNvSpPr txBox="1"/>
      </xdr:nvSpPr>
      <xdr:spPr>
        <a:xfrm>
          <a:off x="5218015" y="5660935"/>
          <a:ext cx="101258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oneCellAnchor>
    <xdr:from>
      <xdr:col>7</xdr:col>
      <xdr:colOff>622599</xdr:colOff>
      <xdr:row>40</xdr:row>
      <xdr:rowOff>66586</xdr:rowOff>
    </xdr:from>
    <xdr:ext cx="577551" cy="264560"/>
    <xdr:sp macro="" textlink="">
      <xdr:nvSpPr>
        <xdr:cNvPr id="36" name="CaixaDeTexto 35"/>
        <xdr:cNvSpPr txBox="1"/>
      </xdr:nvSpPr>
      <xdr:spPr>
        <a:xfrm>
          <a:off x="5289849" y="7791361"/>
          <a:ext cx="5775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twoCellAnchor>
    <xdr:from>
      <xdr:col>6</xdr:col>
      <xdr:colOff>509588</xdr:colOff>
      <xdr:row>40</xdr:row>
      <xdr:rowOff>17060</xdr:rowOff>
    </xdr:from>
    <xdr:to>
      <xdr:col>7</xdr:col>
      <xdr:colOff>225425</xdr:colOff>
      <xdr:row>40</xdr:row>
      <xdr:rowOff>23411</xdr:rowOff>
    </xdr:to>
    <xdr:cxnSp macro="">
      <xdr:nvCxnSpPr>
        <xdr:cNvPr id="37" name="Conector reto 36"/>
        <xdr:cNvCxnSpPr/>
      </xdr:nvCxnSpPr>
      <xdr:spPr bwMode="auto">
        <a:xfrm flipV="1">
          <a:off x="4510088" y="7741835"/>
          <a:ext cx="38258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74459</xdr:colOff>
      <xdr:row>26</xdr:row>
      <xdr:rowOff>77512</xdr:rowOff>
    </xdr:from>
    <xdr:to>
      <xdr:col>7</xdr:col>
      <xdr:colOff>119065</xdr:colOff>
      <xdr:row>40</xdr:row>
      <xdr:rowOff>109144</xdr:rowOff>
    </xdr:to>
    <xdr:cxnSp macro="">
      <xdr:nvCxnSpPr>
        <xdr:cNvPr id="38" name="Conector reto 37"/>
        <xdr:cNvCxnSpPr/>
      </xdr:nvCxnSpPr>
      <xdr:spPr bwMode="auto">
        <a:xfrm rot="16200000" flipH="1">
          <a:off x="3567096" y="6614700"/>
          <a:ext cx="239383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426640</xdr:colOff>
      <xdr:row>31</xdr:row>
      <xdr:rowOff>78215</xdr:rowOff>
    </xdr:from>
    <xdr:ext cx="356893" cy="515989"/>
    <xdr:sp macro="" textlink="">
      <xdr:nvSpPr>
        <xdr:cNvPr id="39" name="CaixaDeTexto 38"/>
        <xdr:cNvSpPr txBox="1"/>
      </xdr:nvSpPr>
      <xdr:spPr>
        <a:xfrm>
          <a:off x="4427140" y="5634465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689 km</a:t>
          </a:r>
        </a:p>
      </xdr:txBody>
    </xdr:sp>
    <xdr:clientData/>
  </xdr:oneCellAnchor>
  <xdr:twoCellAnchor>
    <xdr:from>
      <xdr:col>0</xdr:col>
      <xdr:colOff>412863</xdr:colOff>
      <xdr:row>47</xdr:row>
      <xdr:rowOff>117101</xdr:rowOff>
    </xdr:from>
    <xdr:to>
      <xdr:col>8</xdr:col>
      <xdr:colOff>572060</xdr:colOff>
      <xdr:row>47</xdr:row>
      <xdr:rowOff>137960</xdr:rowOff>
    </xdr:to>
    <xdr:cxnSp macro="">
      <xdr:nvCxnSpPr>
        <xdr:cNvPr id="40" name="Conector reto 39"/>
        <xdr:cNvCxnSpPr/>
      </xdr:nvCxnSpPr>
      <xdr:spPr bwMode="auto">
        <a:xfrm flipV="1">
          <a:off x="412863" y="8975351"/>
          <a:ext cx="549319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45</xdr:row>
      <xdr:rowOff>120537</xdr:rowOff>
    </xdr:from>
    <xdr:ext cx="2098164" cy="264560"/>
    <xdr:sp macro="" textlink="">
      <xdr:nvSpPr>
        <xdr:cNvPr id="41" name="CaixaDeTexto 40"/>
        <xdr:cNvSpPr txBox="1"/>
      </xdr:nvSpPr>
      <xdr:spPr>
        <a:xfrm>
          <a:off x="13211" y="7899287"/>
          <a:ext cx="20981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oneCellAnchor>
    <xdr:from>
      <xdr:col>9</xdr:col>
      <xdr:colOff>58084</xdr:colOff>
      <xdr:row>46</xdr:row>
      <xdr:rowOff>133226</xdr:rowOff>
    </xdr:from>
    <xdr:ext cx="580091" cy="264560"/>
    <xdr:sp macro="" textlink="">
      <xdr:nvSpPr>
        <xdr:cNvPr id="43" name="CaixaDeTexto 42"/>
        <xdr:cNvSpPr txBox="1"/>
      </xdr:nvSpPr>
      <xdr:spPr>
        <a:xfrm>
          <a:off x="6058834" y="8829551"/>
          <a:ext cx="58009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twoCellAnchor>
    <xdr:from>
      <xdr:col>0</xdr:col>
      <xdr:colOff>323850</xdr:colOff>
      <xdr:row>49</xdr:row>
      <xdr:rowOff>69477</xdr:rowOff>
    </xdr:from>
    <xdr:to>
      <xdr:col>9</xdr:col>
      <xdr:colOff>314885</xdr:colOff>
      <xdr:row>49</xdr:row>
      <xdr:rowOff>85725</xdr:rowOff>
    </xdr:to>
    <xdr:cxnSp macro="">
      <xdr:nvCxnSpPr>
        <xdr:cNvPr id="45" name="Conector reto 44"/>
        <xdr:cNvCxnSpPr/>
      </xdr:nvCxnSpPr>
      <xdr:spPr bwMode="auto">
        <a:xfrm flipV="1">
          <a:off x="323850" y="9251577"/>
          <a:ext cx="599178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48</xdr:row>
      <xdr:rowOff>85725</xdr:rowOff>
    </xdr:from>
    <xdr:to>
      <xdr:col>0</xdr:col>
      <xdr:colOff>361950</xdr:colOff>
      <xdr:row>50</xdr:row>
      <xdr:rowOff>53795</xdr:rowOff>
    </xdr:to>
    <xdr:cxnSp macro="">
      <xdr:nvCxnSpPr>
        <xdr:cNvPr id="46" name="Conector reto 45"/>
        <xdr:cNvCxnSpPr/>
      </xdr:nvCxnSpPr>
      <xdr:spPr bwMode="auto">
        <a:xfrm rot="5400000">
          <a:off x="212917" y="9248787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48</xdr:row>
      <xdr:rowOff>76200</xdr:rowOff>
    </xdr:from>
    <xdr:to>
      <xdr:col>8</xdr:col>
      <xdr:colOff>619125</xdr:colOff>
      <xdr:row>50</xdr:row>
      <xdr:rowOff>44270</xdr:rowOff>
    </xdr:to>
    <xdr:cxnSp macro="">
      <xdr:nvCxnSpPr>
        <xdr:cNvPr id="47" name="Conector reto 46"/>
        <xdr:cNvCxnSpPr/>
      </xdr:nvCxnSpPr>
      <xdr:spPr bwMode="auto">
        <a:xfrm rot="5400000">
          <a:off x="5804092" y="9239262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49</xdr:row>
      <xdr:rowOff>59958</xdr:rowOff>
    </xdr:from>
    <xdr:ext cx="660933" cy="264560"/>
    <xdr:sp macro="" textlink="">
      <xdr:nvSpPr>
        <xdr:cNvPr id="48" name="CaixaDeTexto 47"/>
        <xdr:cNvSpPr txBox="1"/>
      </xdr:nvSpPr>
      <xdr:spPr>
        <a:xfrm>
          <a:off x="2948251" y="9242058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424km</a:t>
          </a:r>
        </a:p>
      </xdr:txBody>
    </xdr:sp>
    <xdr:clientData/>
  </xdr:oneCellAnchor>
  <xdr:twoCellAnchor>
    <xdr:from>
      <xdr:col>1</xdr:col>
      <xdr:colOff>267120</xdr:colOff>
      <xdr:row>5</xdr:row>
      <xdr:rowOff>139946</xdr:rowOff>
    </xdr:from>
    <xdr:to>
      <xdr:col>1</xdr:col>
      <xdr:colOff>275495</xdr:colOff>
      <xdr:row>19</xdr:row>
      <xdr:rowOff>79864</xdr:rowOff>
    </xdr:to>
    <xdr:cxnSp macro="">
      <xdr:nvCxnSpPr>
        <xdr:cNvPr id="49" name="Conector reto 48"/>
        <xdr:cNvCxnSpPr/>
      </xdr:nvCxnSpPr>
      <xdr:spPr bwMode="auto">
        <a:xfrm rot="5400000">
          <a:off x="-279676" y="3001317"/>
          <a:ext cx="24354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</xdr:colOff>
      <xdr:row>25</xdr:row>
      <xdr:rowOff>142876</xdr:rowOff>
    </xdr:from>
    <xdr:to>
      <xdr:col>1</xdr:col>
      <xdr:colOff>389375</xdr:colOff>
      <xdr:row>38</xdr:row>
      <xdr:rowOff>130419</xdr:rowOff>
    </xdr:to>
    <xdr:cxnSp macro="">
      <xdr:nvCxnSpPr>
        <xdr:cNvPr id="50" name="Conector reto 49"/>
        <xdr:cNvCxnSpPr/>
      </xdr:nvCxnSpPr>
      <xdr:spPr bwMode="auto">
        <a:xfrm rot="5400000">
          <a:off x="-51496" y="6423722"/>
          <a:ext cx="22068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26</xdr:row>
      <xdr:rowOff>2</xdr:rowOff>
    </xdr:from>
    <xdr:to>
      <xdr:col>1</xdr:col>
      <xdr:colOff>103625</xdr:colOff>
      <xdr:row>39</xdr:row>
      <xdr:rowOff>6595</xdr:rowOff>
    </xdr:to>
    <xdr:cxnSp macro="">
      <xdr:nvCxnSpPr>
        <xdr:cNvPr id="51" name="Conector reto 50"/>
        <xdr:cNvCxnSpPr/>
      </xdr:nvCxnSpPr>
      <xdr:spPr bwMode="auto">
        <a:xfrm rot="5400000">
          <a:off x="-337246" y="6461823"/>
          <a:ext cx="2206868" cy="8375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123825</xdr:colOff>
      <xdr:row>13</xdr:row>
      <xdr:rowOff>47625</xdr:rowOff>
    </xdr:from>
    <xdr:to>
      <xdr:col>7</xdr:col>
      <xdr:colOff>428625</xdr:colOff>
      <xdr:row>20</xdr:row>
      <xdr:rowOff>142875</xdr:rowOff>
    </xdr:to>
    <xdr:sp macro="" textlink="">
      <xdr:nvSpPr>
        <xdr:cNvPr id="52" name="Forma livre 51"/>
        <xdr:cNvSpPr/>
      </xdr:nvSpPr>
      <xdr:spPr>
        <a:xfrm>
          <a:off x="4791075" y="2317750"/>
          <a:ext cx="304800" cy="1460500"/>
        </a:xfrm>
        <a:custGeom>
          <a:avLst/>
          <a:gdLst>
            <a:gd name="connsiteX0" fmla="*/ 85725 w 187325"/>
            <a:gd name="connsiteY0" fmla="*/ 0 h 2600325"/>
            <a:gd name="connsiteX1" fmla="*/ 85725 w 187325"/>
            <a:gd name="connsiteY1" fmla="*/ 285750 h 2600325"/>
            <a:gd name="connsiteX2" fmla="*/ 180975 w 187325"/>
            <a:gd name="connsiteY2" fmla="*/ 428625 h 2600325"/>
            <a:gd name="connsiteX3" fmla="*/ 123825 w 187325"/>
            <a:gd name="connsiteY3" fmla="*/ 590550 h 2600325"/>
            <a:gd name="connsiteX4" fmla="*/ 38100 w 187325"/>
            <a:gd name="connsiteY4" fmla="*/ 819150 h 2600325"/>
            <a:gd name="connsiteX5" fmla="*/ 38100 w 187325"/>
            <a:gd name="connsiteY5" fmla="*/ 1257300 h 2600325"/>
            <a:gd name="connsiteX6" fmla="*/ 171450 w 187325"/>
            <a:gd name="connsiteY6" fmla="*/ 1485900 h 2600325"/>
            <a:gd name="connsiteX7" fmla="*/ 66675 w 187325"/>
            <a:gd name="connsiteY7" fmla="*/ 1933575 h 2600325"/>
            <a:gd name="connsiteX8" fmla="*/ 9525 w 187325"/>
            <a:gd name="connsiteY8" fmla="*/ 2476500 h 2600325"/>
            <a:gd name="connsiteX9" fmla="*/ 9525 w 187325"/>
            <a:gd name="connsiteY9" fmla="*/ 2600325 h 2600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87325" h="2600325">
              <a:moveTo>
                <a:pt x="85725" y="0"/>
              </a:moveTo>
              <a:cubicBezTo>
                <a:pt x="77787" y="107156"/>
                <a:pt x="69850" y="214313"/>
                <a:pt x="85725" y="285750"/>
              </a:cubicBezTo>
              <a:cubicBezTo>
                <a:pt x="101600" y="357187"/>
                <a:pt x="174625" y="377825"/>
                <a:pt x="180975" y="428625"/>
              </a:cubicBezTo>
              <a:cubicBezTo>
                <a:pt x="187325" y="479425"/>
                <a:pt x="147637" y="525463"/>
                <a:pt x="123825" y="590550"/>
              </a:cubicBezTo>
              <a:cubicBezTo>
                <a:pt x="100013" y="655637"/>
                <a:pt x="52387" y="708025"/>
                <a:pt x="38100" y="819150"/>
              </a:cubicBezTo>
              <a:cubicBezTo>
                <a:pt x="23813" y="930275"/>
                <a:pt x="15875" y="1146175"/>
                <a:pt x="38100" y="1257300"/>
              </a:cubicBezTo>
              <a:cubicBezTo>
                <a:pt x="60325" y="1368425"/>
                <a:pt x="166688" y="1373188"/>
                <a:pt x="171450" y="1485900"/>
              </a:cubicBezTo>
              <a:cubicBezTo>
                <a:pt x="176213" y="1598613"/>
                <a:pt x="93663" y="1768475"/>
                <a:pt x="66675" y="1933575"/>
              </a:cubicBezTo>
              <a:cubicBezTo>
                <a:pt x="39687" y="2098675"/>
                <a:pt x="19050" y="2365375"/>
                <a:pt x="9525" y="2476500"/>
              </a:cubicBezTo>
              <a:cubicBezTo>
                <a:pt x="0" y="2587625"/>
                <a:pt x="4762" y="2593975"/>
                <a:pt x="9525" y="2600325"/>
              </a:cubicBezTo>
            </a:path>
          </a:pathLst>
        </a:cu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7</xdr:col>
      <xdr:colOff>565390</xdr:colOff>
      <xdr:row>13</xdr:row>
      <xdr:rowOff>137746</xdr:rowOff>
    </xdr:from>
    <xdr:ext cx="1250709" cy="252779"/>
    <xdr:sp macro="" textlink="">
      <xdr:nvSpPr>
        <xdr:cNvPr id="53" name="CaixaDeTexto 52"/>
        <xdr:cNvSpPr txBox="1"/>
      </xdr:nvSpPr>
      <xdr:spPr>
        <a:xfrm>
          <a:off x="5232640" y="2407871"/>
          <a:ext cx="1250709" cy="2527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Rio Gorutuba</a:t>
          </a:r>
        </a:p>
      </xdr:txBody>
    </xdr:sp>
    <xdr:clientData/>
  </xdr:oneCellAnchor>
  <xdr:twoCellAnchor>
    <xdr:from>
      <xdr:col>7</xdr:col>
      <xdr:colOff>311150</xdr:colOff>
      <xdr:row>14</xdr:row>
      <xdr:rowOff>98425</xdr:rowOff>
    </xdr:from>
    <xdr:to>
      <xdr:col>7</xdr:col>
      <xdr:colOff>615950</xdr:colOff>
      <xdr:row>15</xdr:row>
      <xdr:rowOff>63500</xdr:rowOff>
    </xdr:to>
    <xdr:cxnSp macro="">
      <xdr:nvCxnSpPr>
        <xdr:cNvPr id="54" name="Conector de seta reta 53"/>
        <xdr:cNvCxnSpPr/>
      </xdr:nvCxnSpPr>
      <xdr:spPr>
        <a:xfrm flipH="1">
          <a:off x="4978400" y="2590800"/>
          <a:ext cx="304800" cy="1873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13</xdr:row>
      <xdr:rowOff>95250</xdr:rowOff>
    </xdr:from>
    <xdr:to>
      <xdr:col>2</xdr:col>
      <xdr:colOff>76200</xdr:colOff>
      <xdr:row>14</xdr:row>
      <xdr:rowOff>66675</xdr:rowOff>
    </xdr:to>
    <xdr:sp macro="" textlink="">
      <xdr:nvSpPr>
        <xdr:cNvPr id="55" name="Losango 54"/>
        <xdr:cNvSpPr/>
      </xdr:nvSpPr>
      <xdr:spPr>
        <a:xfrm>
          <a:off x="1123950" y="3038475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390525</xdr:colOff>
      <xdr:row>40</xdr:row>
      <xdr:rowOff>66675</xdr:rowOff>
    </xdr:from>
    <xdr:to>
      <xdr:col>7</xdr:col>
      <xdr:colOff>581025</xdr:colOff>
      <xdr:row>42</xdr:row>
      <xdr:rowOff>28575</xdr:rowOff>
    </xdr:to>
    <xdr:sp macro="" textlink="">
      <xdr:nvSpPr>
        <xdr:cNvPr id="56" name="Losango 55"/>
        <xdr:cNvSpPr/>
      </xdr:nvSpPr>
      <xdr:spPr>
        <a:xfrm rot="5400000">
          <a:off x="5010150" y="7839075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</xdr:col>
      <xdr:colOff>495300</xdr:colOff>
      <xdr:row>37</xdr:row>
      <xdr:rowOff>57150</xdr:rowOff>
    </xdr:from>
    <xdr:to>
      <xdr:col>2</xdr:col>
      <xdr:colOff>114300</xdr:colOff>
      <xdr:row>38</xdr:row>
      <xdr:rowOff>85725</xdr:rowOff>
    </xdr:to>
    <xdr:sp macro="" textlink="">
      <xdr:nvSpPr>
        <xdr:cNvPr id="57" name="Losango 56"/>
        <xdr:cNvSpPr/>
      </xdr:nvSpPr>
      <xdr:spPr>
        <a:xfrm>
          <a:off x="1162050" y="7296150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7</xdr:col>
      <xdr:colOff>107950</xdr:colOff>
      <xdr:row>17</xdr:row>
      <xdr:rowOff>82550</xdr:rowOff>
    </xdr:from>
    <xdr:to>
      <xdr:col>7</xdr:col>
      <xdr:colOff>393700</xdr:colOff>
      <xdr:row>18</xdr:row>
      <xdr:rowOff>111125</xdr:rowOff>
    </xdr:to>
    <xdr:sp macro="" textlink="">
      <xdr:nvSpPr>
        <xdr:cNvPr id="58" name="Losango 57"/>
        <xdr:cNvSpPr/>
      </xdr:nvSpPr>
      <xdr:spPr>
        <a:xfrm>
          <a:off x="4775200" y="3241675"/>
          <a:ext cx="285750" cy="187325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46</xdr:row>
      <xdr:rowOff>133350</xdr:rowOff>
    </xdr:from>
    <xdr:to>
      <xdr:col>9</xdr:col>
      <xdr:colOff>38100</xdr:colOff>
      <xdr:row>48</xdr:row>
      <xdr:rowOff>95250</xdr:rowOff>
    </xdr:to>
    <xdr:sp macro="" textlink="">
      <xdr:nvSpPr>
        <xdr:cNvPr id="59" name="Losango 58"/>
        <xdr:cNvSpPr/>
      </xdr:nvSpPr>
      <xdr:spPr>
        <a:xfrm rot="5400000">
          <a:off x="5800725" y="8877300"/>
          <a:ext cx="28575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299675</xdr:colOff>
      <xdr:row>14</xdr:row>
      <xdr:rowOff>47625</xdr:rowOff>
    </xdr:from>
    <xdr:to>
      <xdr:col>3</xdr:col>
      <xdr:colOff>466725</xdr:colOff>
      <xdr:row>14</xdr:row>
      <xdr:rowOff>180241</xdr:rowOff>
    </xdr:to>
    <xdr:sp macro="" textlink="">
      <xdr:nvSpPr>
        <xdr:cNvPr id="60" name="Fluxograma: Conector 59"/>
        <xdr:cNvSpPr/>
      </xdr:nvSpPr>
      <xdr:spPr bwMode="auto">
        <a:xfrm>
          <a:off x="2299925" y="3209925"/>
          <a:ext cx="167050" cy="13261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211704</xdr:colOff>
      <xdr:row>15</xdr:row>
      <xdr:rowOff>74321</xdr:rowOff>
    </xdr:from>
    <xdr:to>
      <xdr:col>3</xdr:col>
      <xdr:colOff>535554</xdr:colOff>
      <xdr:row>15</xdr:row>
      <xdr:rowOff>137662</xdr:rowOff>
    </xdr:to>
    <xdr:sp macro="" textlink="">
      <xdr:nvSpPr>
        <xdr:cNvPr id="61" name="Forma livre 60"/>
        <xdr:cNvSpPr/>
      </xdr:nvSpPr>
      <xdr:spPr>
        <a:xfrm rot="5655204">
          <a:off x="2342208" y="3325442"/>
          <a:ext cx="63341" cy="323850"/>
        </a:xfrm>
        <a:custGeom>
          <a:avLst/>
          <a:gdLst>
            <a:gd name="connsiteX0" fmla="*/ 85725 w 187325"/>
            <a:gd name="connsiteY0" fmla="*/ 0 h 2600325"/>
            <a:gd name="connsiteX1" fmla="*/ 85725 w 187325"/>
            <a:gd name="connsiteY1" fmla="*/ 285750 h 2600325"/>
            <a:gd name="connsiteX2" fmla="*/ 180975 w 187325"/>
            <a:gd name="connsiteY2" fmla="*/ 428625 h 2600325"/>
            <a:gd name="connsiteX3" fmla="*/ 123825 w 187325"/>
            <a:gd name="connsiteY3" fmla="*/ 590550 h 2600325"/>
            <a:gd name="connsiteX4" fmla="*/ 38100 w 187325"/>
            <a:gd name="connsiteY4" fmla="*/ 819150 h 2600325"/>
            <a:gd name="connsiteX5" fmla="*/ 38100 w 187325"/>
            <a:gd name="connsiteY5" fmla="*/ 1257300 h 2600325"/>
            <a:gd name="connsiteX6" fmla="*/ 171450 w 187325"/>
            <a:gd name="connsiteY6" fmla="*/ 1485900 h 2600325"/>
            <a:gd name="connsiteX7" fmla="*/ 66675 w 187325"/>
            <a:gd name="connsiteY7" fmla="*/ 1933575 h 2600325"/>
            <a:gd name="connsiteX8" fmla="*/ 9525 w 187325"/>
            <a:gd name="connsiteY8" fmla="*/ 2476500 h 2600325"/>
            <a:gd name="connsiteX9" fmla="*/ 9525 w 187325"/>
            <a:gd name="connsiteY9" fmla="*/ 2600325 h 26003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187325" h="2600325">
              <a:moveTo>
                <a:pt x="85725" y="0"/>
              </a:moveTo>
              <a:cubicBezTo>
                <a:pt x="77787" y="107156"/>
                <a:pt x="69850" y="214313"/>
                <a:pt x="85725" y="285750"/>
              </a:cubicBezTo>
              <a:cubicBezTo>
                <a:pt x="101600" y="357187"/>
                <a:pt x="174625" y="377825"/>
                <a:pt x="180975" y="428625"/>
              </a:cubicBezTo>
              <a:cubicBezTo>
                <a:pt x="187325" y="479425"/>
                <a:pt x="147637" y="525463"/>
                <a:pt x="123825" y="590550"/>
              </a:cubicBezTo>
              <a:cubicBezTo>
                <a:pt x="100013" y="655637"/>
                <a:pt x="52387" y="708025"/>
                <a:pt x="38100" y="819150"/>
              </a:cubicBezTo>
              <a:cubicBezTo>
                <a:pt x="23813" y="930275"/>
                <a:pt x="15875" y="1146175"/>
                <a:pt x="38100" y="1257300"/>
              </a:cubicBezTo>
              <a:cubicBezTo>
                <a:pt x="60325" y="1368425"/>
                <a:pt x="166688" y="1373188"/>
                <a:pt x="171450" y="1485900"/>
              </a:cubicBezTo>
              <a:cubicBezTo>
                <a:pt x="176213" y="1598613"/>
                <a:pt x="93663" y="1768475"/>
                <a:pt x="66675" y="1933575"/>
              </a:cubicBezTo>
              <a:cubicBezTo>
                <a:pt x="39687" y="2098675"/>
                <a:pt x="19050" y="2365375"/>
                <a:pt x="9525" y="2476500"/>
              </a:cubicBezTo>
              <a:cubicBezTo>
                <a:pt x="0" y="2587625"/>
                <a:pt x="4762" y="2593975"/>
                <a:pt x="9525" y="2600325"/>
              </a:cubicBezTo>
            </a:path>
          </a:pathLst>
        </a:custGeom>
        <a:ln/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266700</xdr:colOff>
      <xdr:row>16</xdr:row>
      <xdr:rowOff>47625</xdr:rowOff>
    </xdr:from>
    <xdr:to>
      <xdr:col>3</xdr:col>
      <xdr:colOff>485775</xdr:colOff>
      <xdr:row>16</xdr:row>
      <xdr:rowOff>180975</xdr:rowOff>
    </xdr:to>
    <xdr:sp macro="" textlink="">
      <xdr:nvSpPr>
        <xdr:cNvPr id="62" name="Losango 61"/>
        <xdr:cNvSpPr/>
      </xdr:nvSpPr>
      <xdr:spPr>
        <a:xfrm>
          <a:off x="2266950" y="3648075"/>
          <a:ext cx="219075" cy="1333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10</xdr:row>
      <xdr:rowOff>137012</xdr:rowOff>
    </xdr:from>
    <xdr:ext cx="356893" cy="515989"/>
    <xdr:sp macro="" textlink="">
      <xdr:nvSpPr>
        <xdr:cNvPr id="63" name="CaixaDeTexto 62"/>
        <xdr:cNvSpPr txBox="1"/>
      </xdr:nvSpPr>
      <xdr:spPr>
        <a:xfrm>
          <a:off x="650881" y="2594462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15  km</a:t>
          </a:r>
        </a:p>
      </xdr:txBody>
    </xdr:sp>
    <xdr:clientData/>
  </xdr:oneCellAnchor>
  <xdr:oneCellAnchor>
    <xdr:from>
      <xdr:col>0</xdr:col>
      <xdr:colOff>650881</xdr:colOff>
      <xdr:row>14</xdr:row>
      <xdr:rowOff>108437</xdr:rowOff>
    </xdr:from>
    <xdr:ext cx="356893" cy="515989"/>
    <xdr:sp macro="" textlink="">
      <xdr:nvSpPr>
        <xdr:cNvPr id="64" name="CaixaDeTexto 63"/>
        <xdr:cNvSpPr txBox="1"/>
      </xdr:nvSpPr>
      <xdr:spPr>
        <a:xfrm>
          <a:off x="650881" y="3270737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278733</xdr:colOff>
      <xdr:row>56</xdr:row>
      <xdr:rowOff>51078</xdr:rowOff>
    </xdr:from>
    <xdr:to>
      <xdr:col>0</xdr:col>
      <xdr:colOff>444231</xdr:colOff>
      <xdr:row>57</xdr:row>
      <xdr:rowOff>43751</xdr:rowOff>
    </xdr:to>
    <xdr:sp macro="" textlink="">
      <xdr:nvSpPr>
        <xdr:cNvPr id="65" name="Fluxograma: Conector 64"/>
        <xdr:cNvSpPr/>
      </xdr:nvSpPr>
      <xdr:spPr bwMode="auto">
        <a:xfrm>
          <a:off x="278733" y="10366653"/>
          <a:ext cx="165498" cy="154598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412863</xdr:colOff>
      <xdr:row>56</xdr:row>
      <xdr:rowOff>117101</xdr:rowOff>
    </xdr:from>
    <xdr:to>
      <xdr:col>8</xdr:col>
      <xdr:colOff>572060</xdr:colOff>
      <xdr:row>56</xdr:row>
      <xdr:rowOff>137960</xdr:rowOff>
    </xdr:to>
    <xdr:cxnSp macro="">
      <xdr:nvCxnSpPr>
        <xdr:cNvPr id="66" name="Conector reto 65"/>
        <xdr:cNvCxnSpPr/>
      </xdr:nvCxnSpPr>
      <xdr:spPr bwMode="auto">
        <a:xfrm flipV="1">
          <a:off x="412863" y="10432676"/>
          <a:ext cx="549319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54</xdr:row>
      <xdr:rowOff>120537</xdr:rowOff>
    </xdr:from>
    <xdr:ext cx="2193414" cy="264560"/>
    <xdr:sp macro="" textlink="">
      <xdr:nvSpPr>
        <xdr:cNvPr id="67" name="CaixaDeTexto 66"/>
        <xdr:cNvSpPr txBox="1"/>
      </xdr:nvSpPr>
      <xdr:spPr>
        <a:xfrm>
          <a:off x="13211" y="9328037"/>
          <a:ext cx="2193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 </a:t>
          </a:r>
        </a:p>
      </xdr:txBody>
    </xdr:sp>
    <xdr:clientData/>
  </xdr:oneCellAnchor>
  <xdr:oneCellAnchor>
    <xdr:from>
      <xdr:col>7</xdr:col>
      <xdr:colOff>175558</xdr:colOff>
      <xdr:row>54</xdr:row>
      <xdr:rowOff>41151</xdr:rowOff>
    </xdr:from>
    <xdr:ext cx="1888191" cy="244599"/>
    <xdr:sp macro="" textlink="">
      <xdr:nvSpPr>
        <xdr:cNvPr id="68" name="CaixaDeTexto 67"/>
        <xdr:cNvSpPr txBox="1"/>
      </xdr:nvSpPr>
      <xdr:spPr>
        <a:xfrm>
          <a:off x="4842808" y="9248651"/>
          <a:ext cx="1888191" cy="2445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SÃO JOÃO DAS</a:t>
          </a:r>
          <a:r>
            <a:rPr lang="pt-BR" sz="1100" baseline="0"/>
            <a:t> MISSÕES </a:t>
          </a:r>
          <a:endParaRPr lang="pt-BR" sz="1100"/>
        </a:p>
      </xdr:txBody>
    </xdr:sp>
    <xdr:clientData/>
  </xdr:oneCellAnchor>
  <xdr:twoCellAnchor>
    <xdr:from>
      <xdr:col>0</xdr:col>
      <xdr:colOff>323850</xdr:colOff>
      <xdr:row>58</xdr:row>
      <xdr:rowOff>69477</xdr:rowOff>
    </xdr:from>
    <xdr:to>
      <xdr:col>9</xdr:col>
      <xdr:colOff>314885</xdr:colOff>
      <xdr:row>58</xdr:row>
      <xdr:rowOff>85725</xdr:rowOff>
    </xdr:to>
    <xdr:cxnSp macro="">
      <xdr:nvCxnSpPr>
        <xdr:cNvPr id="69" name="Conector reto 68"/>
        <xdr:cNvCxnSpPr/>
      </xdr:nvCxnSpPr>
      <xdr:spPr bwMode="auto">
        <a:xfrm flipV="1">
          <a:off x="323850" y="10708902"/>
          <a:ext cx="599178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57</xdr:row>
      <xdr:rowOff>85725</xdr:rowOff>
    </xdr:from>
    <xdr:to>
      <xdr:col>0</xdr:col>
      <xdr:colOff>361950</xdr:colOff>
      <xdr:row>59</xdr:row>
      <xdr:rowOff>53795</xdr:rowOff>
    </xdr:to>
    <xdr:cxnSp macro="">
      <xdr:nvCxnSpPr>
        <xdr:cNvPr id="70" name="Conector reto 69"/>
        <xdr:cNvCxnSpPr/>
      </xdr:nvCxnSpPr>
      <xdr:spPr bwMode="auto">
        <a:xfrm rot="5400000">
          <a:off x="212917" y="10706112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57</xdr:row>
      <xdr:rowOff>76200</xdr:rowOff>
    </xdr:from>
    <xdr:to>
      <xdr:col>8</xdr:col>
      <xdr:colOff>619125</xdr:colOff>
      <xdr:row>59</xdr:row>
      <xdr:rowOff>44270</xdr:rowOff>
    </xdr:to>
    <xdr:cxnSp macro="">
      <xdr:nvCxnSpPr>
        <xdr:cNvPr id="71" name="Conector reto 70"/>
        <xdr:cNvCxnSpPr/>
      </xdr:nvCxnSpPr>
      <xdr:spPr bwMode="auto">
        <a:xfrm rot="5400000">
          <a:off x="5804092" y="10696587"/>
          <a:ext cx="29192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58</xdr:row>
      <xdr:rowOff>59958</xdr:rowOff>
    </xdr:from>
    <xdr:ext cx="660933" cy="264560"/>
    <xdr:sp macro="" textlink="">
      <xdr:nvSpPr>
        <xdr:cNvPr id="72" name="CaixaDeTexto 71"/>
        <xdr:cNvSpPr txBox="1"/>
      </xdr:nvSpPr>
      <xdr:spPr>
        <a:xfrm>
          <a:off x="2948251" y="10699383"/>
          <a:ext cx="66093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245 km</a:t>
          </a:r>
        </a:p>
      </xdr:txBody>
    </xdr:sp>
    <xdr:clientData/>
  </xdr:oneCellAnchor>
  <xdr:twoCellAnchor editAs="oneCell">
    <xdr:from>
      <xdr:col>8</xdr:col>
      <xdr:colOff>495300</xdr:colOff>
      <xdr:row>56</xdr:row>
      <xdr:rowOff>38100</xdr:rowOff>
    </xdr:from>
    <xdr:to>
      <xdr:col>9</xdr:col>
      <xdr:colOff>5349</xdr:colOff>
      <xdr:row>57</xdr:row>
      <xdr:rowOff>40781</xdr:rowOff>
    </xdr:to>
    <xdr:pic>
      <xdr:nvPicPr>
        <xdr:cNvPr id="73" name="Imagem 7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29300" y="10353675"/>
          <a:ext cx="176799" cy="164606"/>
        </a:xfrm>
        <a:prstGeom prst="rect">
          <a:avLst/>
        </a:prstGeom>
      </xdr:spPr>
    </xdr:pic>
    <xdr:clientData/>
  </xdr:twoCellAnchor>
  <xdr:oneCellAnchor>
    <xdr:from>
      <xdr:col>0</xdr:col>
      <xdr:colOff>355353</xdr:colOff>
      <xdr:row>61</xdr:row>
      <xdr:rowOff>0</xdr:rowOff>
    </xdr:from>
    <xdr:ext cx="184731" cy="264560"/>
    <xdr:sp macro="" textlink="">
      <xdr:nvSpPr>
        <xdr:cNvPr id="74" name="CaixaDeTexto 73"/>
        <xdr:cNvSpPr txBox="1"/>
      </xdr:nvSpPr>
      <xdr:spPr>
        <a:xfrm>
          <a:off x="355353" y="1112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650881</xdr:colOff>
      <xdr:row>14</xdr:row>
      <xdr:rowOff>108437</xdr:rowOff>
    </xdr:from>
    <xdr:ext cx="356893" cy="729202"/>
    <xdr:sp macro="" textlink="">
      <xdr:nvSpPr>
        <xdr:cNvPr id="75" name="CaixaDeTexto 74"/>
        <xdr:cNvSpPr txBox="1"/>
      </xdr:nvSpPr>
      <xdr:spPr>
        <a:xfrm>
          <a:off x="650881" y="3270737"/>
          <a:ext cx="356893" cy="729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136531</xdr:colOff>
      <xdr:row>15</xdr:row>
      <xdr:rowOff>41762</xdr:rowOff>
    </xdr:from>
    <xdr:ext cx="356893" cy="729202"/>
    <xdr:sp macro="" textlink="">
      <xdr:nvSpPr>
        <xdr:cNvPr id="76" name="CaixaDeTexto 75"/>
        <xdr:cNvSpPr txBox="1"/>
      </xdr:nvSpPr>
      <xdr:spPr>
        <a:xfrm>
          <a:off x="803281" y="3423137"/>
          <a:ext cx="356893" cy="7292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57150</xdr:colOff>
      <xdr:row>2</xdr:row>
      <xdr:rowOff>133350</xdr:rowOff>
    </xdr:to>
    <xdr:pic>
      <xdr:nvPicPr>
        <xdr:cNvPr id="2" name="Figura 4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1447800" cy="3905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924925" y="21050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3" name="Desenhando 59"/>
        <xdr:cNvSpPr>
          <a:spLocks/>
        </xdr:cNvSpPr>
      </xdr:nvSpPr>
      <xdr:spPr bwMode="auto">
        <a:xfrm>
          <a:off x="10496550" y="2105025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60000 65536"/>
            <a:gd name="T9" fmla="*/ 0 60000 65536"/>
            <a:gd name="T10" fmla="*/ 0 60000 65536"/>
            <a:gd name="T11" fmla="*/ 0 60000 65536"/>
            <a:gd name="T12" fmla="*/ 0 w 16384"/>
            <a:gd name="T13" fmla="*/ 0 h 16384"/>
            <a:gd name="T14" fmla="*/ 16384 w 16384"/>
            <a:gd name="T15" fmla="*/ 16384 h 16384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16384" h="16384">
              <a:moveTo>
                <a:pt x="0" y="0"/>
              </a:moveTo>
              <a:lnTo>
                <a:pt x="16384" y="0"/>
              </a:lnTo>
              <a:lnTo>
                <a:pt x="7490" y="16384"/>
              </a:lnTo>
              <a:lnTo>
                <a:pt x="0" y="0"/>
              </a:lnTo>
              <a:close/>
            </a:path>
          </a:pathLst>
        </a:custGeom>
        <a:solidFill>
          <a:srgbClr val="000000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15</xdr:row>
      <xdr:rowOff>0</xdr:rowOff>
    </xdr:from>
    <xdr:to>
      <xdr:col>40</xdr:col>
      <xdr:colOff>0</xdr:colOff>
      <xdr:row>15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10496550" y="2105025"/>
          <a:ext cx="0" cy="0"/>
        </a:xfrm>
        <a:prstGeom prst="rect">
          <a:avLst/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0</xdr:rowOff>
    </xdr:from>
    <xdr:to>
      <xdr:col>37</xdr:col>
      <xdr:colOff>200025</xdr:colOff>
      <xdr:row>15</xdr:row>
      <xdr:rowOff>0</xdr:rowOff>
    </xdr:to>
    <xdr:sp macro="" textlink="" fLocksText="0">
      <xdr:nvSpPr>
        <xdr:cNvPr id="5" name="Text Box 4"/>
        <xdr:cNvSpPr txBox="1">
          <a:spLocks noChangeArrowheads="1"/>
        </xdr:cNvSpPr>
      </xdr:nvSpPr>
      <xdr:spPr bwMode="auto">
        <a:xfrm>
          <a:off x="1981200" y="2105025"/>
          <a:ext cx="8058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57150</xdr:colOff>
      <xdr:row>1</xdr:row>
      <xdr:rowOff>9525</xdr:rowOff>
    </xdr:from>
    <xdr:to>
      <xdr:col>10</xdr:col>
      <xdr:colOff>28575</xdr:colOff>
      <xdr:row>3</xdr:row>
      <xdr:rowOff>19050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95250"/>
          <a:ext cx="30956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0</xdr:colOff>
      <xdr:row>14</xdr:row>
      <xdr:rowOff>38100</xdr:rowOff>
    </xdr:from>
    <xdr:to>
      <xdr:col>22</xdr:col>
      <xdr:colOff>228600</xdr:colOff>
      <xdr:row>16</xdr:row>
      <xdr:rowOff>38100</xdr:rowOff>
    </xdr:to>
    <xdr:pic>
      <xdr:nvPicPr>
        <xdr:cNvPr id="7" name="OptionButt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71975" y="2066925"/>
          <a:ext cx="2028825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28575</xdr:colOff>
      <xdr:row>14</xdr:row>
      <xdr:rowOff>38100</xdr:rowOff>
    </xdr:from>
    <xdr:to>
      <xdr:col>34</xdr:col>
      <xdr:colOff>152400</xdr:colOff>
      <xdr:row>16</xdr:row>
      <xdr:rowOff>38100</xdr:rowOff>
    </xdr:to>
    <xdr:pic>
      <xdr:nvPicPr>
        <xdr:cNvPr id="8" name="OptionButt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810500" y="2066925"/>
          <a:ext cx="1524000" cy="2476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ASTA%202014/MISSOES/PAVIMENTA&#199;&#195;O%20RANCHARIA/PAVIMENTACAO%20MISSOES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 de Compatibilidade"/>
      <sheetName val="PLANILHA OFICIAL"/>
      <sheetName val="MEMÓRIA DE CÁLCULO"/>
      <sheetName val="CROQUIS "/>
      <sheetName val="EXPRESSÃO MATEMÁTICA CALC ITENS"/>
      <sheetName val=" BDI"/>
      <sheetName val="CRONOGRAMA FIS FINANC -"/>
      <sheetName val="CRONOGRAMA - JANUÁRIA"/>
      <sheetName val="Plan1"/>
      <sheetName val="COORDENADAS"/>
      <sheetName val="QCI"/>
    </sheetNames>
    <sheetDataSet>
      <sheetData sheetId="0"/>
      <sheetData sheetId="1"/>
      <sheetData sheetId="2">
        <row r="1">
          <cell r="A1" t="str">
            <v>PREFEITURA MUNICIPAL DE SÃO JOÃO DAS MISSÕES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6"/>
  <sheetViews>
    <sheetView workbookViewId="0">
      <selection activeCell="D22" sqref="D22"/>
    </sheetView>
  </sheetViews>
  <sheetFormatPr defaultRowHeight="12.75" x14ac:dyDescent="0.2"/>
  <cols>
    <col min="2" max="2" width="29.5703125" customWidth="1"/>
    <col min="3" max="3" width="10.42578125" customWidth="1"/>
    <col min="8" max="8" width="13.85546875" customWidth="1"/>
  </cols>
  <sheetData>
    <row r="1" spans="2:11" ht="23.25" x14ac:dyDescent="0.35">
      <c r="B1" s="446" t="s">
        <v>71</v>
      </c>
      <c r="C1" s="446"/>
      <c r="D1" s="446"/>
      <c r="E1" s="446"/>
      <c r="F1" s="446"/>
      <c r="G1" s="446"/>
      <c r="H1" s="446"/>
      <c r="I1" s="446"/>
      <c r="J1" s="59"/>
    </row>
    <row r="2" spans="2:11" ht="23.25" x14ac:dyDescent="0.35">
      <c r="B2" s="6"/>
      <c r="C2" s="6"/>
      <c r="D2" s="6"/>
      <c r="E2" s="6"/>
      <c r="F2" s="7"/>
      <c r="G2" s="7"/>
      <c r="H2" s="7"/>
    </row>
    <row r="3" spans="2:11" ht="18" x14ac:dyDescent="0.25">
      <c r="B3" s="3" t="s">
        <v>6</v>
      </c>
    </row>
    <row r="5" spans="2:11" x14ac:dyDescent="0.2">
      <c r="B5" t="s">
        <v>72</v>
      </c>
      <c r="E5" s="1" t="s">
        <v>67</v>
      </c>
    </row>
    <row r="7" spans="2:11" ht="13.5" thickBot="1" x14ac:dyDescent="0.25">
      <c r="B7" t="s">
        <v>73</v>
      </c>
      <c r="C7" s="5">
        <f>I15</f>
        <v>4480</v>
      </c>
    </row>
    <row r="8" spans="2:11" ht="63.75" x14ac:dyDescent="0.2">
      <c r="B8" s="10" t="s">
        <v>7</v>
      </c>
      <c r="C8" s="10" t="s">
        <v>8</v>
      </c>
      <c r="D8" s="8" t="s">
        <v>9</v>
      </c>
      <c r="E8" s="58" t="s">
        <v>61</v>
      </c>
      <c r="F8" s="58" t="s">
        <v>60</v>
      </c>
      <c r="G8" s="58" t="s">
        <v>74</v>
      </c>
      <c r="H8" s="58" t="s">
        <v>75</v>
      </c>
      <c r="I8" s="58" t="s">
        <v>59</v>
      </c>
    </row>
    <row r="9" spans="2:11" ht="22.5" x14ac:dyDescent="0.2">
      <c r="B9" s="11"/>
      <c r="C9" s="11"/>
      <c r="D9" s="9"/>
      <c r="E9" s="9"/>
      <c r="F9" s="57" t="s">
        <v>76</v>
      </c>
      <c r="G9" s="9"/>
      <c r="H9" s="61" t="s">
        <v>77</v>
      </c>
      <c r="I9" s="9"/>
      <c r="J9" s="1"/>
    </row>
    <row r="10" spans="2:11" x14ac:dyDescent="0.2">
      <c r="B10" s="66" t="s">
        <v>78</v>
      </c>
      <c r="C10" s="64"/>
      <c r="D10" s="65"/>
      <c r="E10" s="65"/>
      <c r="F10" s="64"/>
      <c r="G10" s="65"/>
      <c r="H10" s="65"/>
      <c r="I10" s="65"/>
      <c r="J10" s="1"/>
      <c r="K10" s="5"/>
    </row>
    <row r="11" spans="2:11" x14ac:dyDescent="0.2">
      <c r="B11" s="63" t="s">
        <v>79</v>
      </c>
      <c r="C11" s="64">
        <v>159</v>
      </c>
      <c r="D11" s="65">
        <v>6.4</v>
      </c>
      <c r="E11" s="65">
        <v>253</v>
      </c>
      <c r="F11" s="64">
        <f>C11</f>
        <v>159</v>
      </c>
      <c r="G11" s="65">
        <f>F11*0.6</f>
        <v>95.399999999999991</v>
      </c>
      <c r="H11" s="65">
        <f>C11*D11</f>
        <v>1017.6</v>
      </c>
      <c r="I11" s="65">
        <f>G11+H11</f>
        <v>1113</v>
      </c>
      <c r="J11" s="1"/>
      <c r="K11" s="5"/>
    </row>
    <row r="12" spans="2:11" x14ac:dyDescent="0.2">
      <c r="B12" s="63" t="s">
        <v>80</v>
      </c>
      <c r="C12" s="64">
        <v>138</v>
      </c>
      <c r="D12" s="65">
        <v>6.4</v>
      </c>
      <c r="E12" s="65">
        <f>C12*2</f>
        <v>276</v>
      </c>
      <c r="F12" s="64">
        <f>C12</f>
        <v>138</v>
      </c>
      <c r="G12" s="65">
        <f>F12*0.6</f>
        <v>82.8</v>
      </c>
      <c r="H12" s="65">
        <f>C12*D12</f>
        <v>883.2</v>
      </c>
      <c r="I12" s="65">
        <f>G12+H12</f>
        <v>966</v>
      </c>
      <c r="J12" s="1"/>
      <c r="K12" s="5"/>
    </row>
    <row r="13" spans="2:11" x14ac:dyDescent="0.2">
      <c r="B13" s="63" t="s">
        <v>81</v>
      </c>
      <c r="C13" s="64">
        <v>153</v>
      </c>
      <c r="D13" s="65">
        <v>6.4</v>
      </c>
      <c r="E13" s="65">
        <f>C13*2</f>
        <v>306</v>
      </c>
      <c r="F13" s="64">
        <f>C13</f>
        <v>153</v>
      </c>
      <c r="G13" s="65">
        <f>F13*0.6</f>
        <v>91.8</v>
      </c>
      <c r="H13" s="65">
        <f>C13*D13</f>
        <v>979.2</v>
      </c>
      <c r="I13" s="65">
        <f>G13+H13</f>
        <v>1071</v>
      </c>
      <c r="J13" s="1"/>
      <c r="K13" s="5"/>
    </row>
    <row r="14" spans="2:11" ht="13.5" thickBot="1" x14ac:dyDescent="0.25">
      <c r="B14" s="63" t="s">
        <v>82</v>
      </c>
      <c r="C14" s="64">
        <v>190</v>
      </c>
      <c r="D14" s="65">
        <v>6.4</v>
      </c>
      <c r="E14" s="65">
        <f>C14*2</f>
        <v>380</v>
      </c>
      <c r="F14" s="64">
        <f>C14</f>
        <v>190</v>
      </c>
      <c r="G14" s="65">
        <f>F14*0.6</f>
        <v>114</v>
      </c>
      <c r="H14" s="65">
        <f>C14*D14</f>
        <v>1216</v>
      </c>
      <c r="I14" s="65">
        <f>G14+H14</f>
        <v>1330</v>
      </c>
      <c r="J14" s="1"/>
      <c r="K14" s="5"/>
    </row>
    <row r="15" spans="2:11" ht="13.5" thickBot="1" x14ac:dyDescent="0.25">
      <c r="B15" s="67" t="s">
        <v>2</v>
      </c>
      <c r="C15" s="68">
        <f>SUM(C10:C14)</f>
        <v>640</v>
      </c>
      <c r="D15" s="68"/>
      <c r="E15" s="68">
        <f>SUM(E10:E14)</f>
        <v>1215</v>
      </c>
      <c r="F15" s="68">
        <f>SUM(F10:F14)</f>
        <v>640</v>
      </c>
      <c r="G15" s="68">
        <f>SUM(G10:G14)</f>
        <v>384</v>
      </c>
      <c r="H15" s="68">
        <f>SUM(H10:H14)</f>
        <v>4096</v>
      </c>
      <c r="I15" s="68">
        <f>SUM(I10:I14)</f>
        <v>4480</v>
      </c>
      <c r="J15" s="5"/>
    </row>
    <row r="16" spans="2:11" x14ac:dyDescent="0.2">
      <c r="C16" s="4"/>
      <c r="D16" s="4"/>
      <c r="E16" s="4"/>
      <c r="I16" s="4"/>
      <c r="J16" s="5"/>
    </row>
    <row r="17" spans="2:10" x14ac:dyDescent="0.2">
      <c r="C17" s="4"/>
      <c r="D17" s="4"/>
      <c r="E17" s="4"/>
      <c r="H17" s="4"/>
      <c r="I17" s="4"/>
      <c r="J17" s="5"/>
    </row>
    <row r="18" spans="2:10" x14ac:dyDescent="0.2">
      <c r="B18" s="1"/>
      <c r="C18" s="4"/>
      <c r="D18" s="4"/>
      <c r="E18" s="4"/>
      <c r="I18" s="4"/>
      <c r="J18" s="5"/>
    </row>
    <row r="19" spans="2:10" ht="15.75" x14ac:dyDescent="0.25">
      <c r="B19" s="447"/>
      <c r="C19" s="447"/>
      <c r="D19" s="447"/>
      <c r="E19" s="447"/>
      <c r="F19" s="447"/>
      <c r="G19" s="447"/>
      <c r="H19" s="62"/>
      <c r="I19" s="62"/>
      <c r="J19" s="5"/>
    </row>
    <row r="20" spans="2:10" x14ac:dyDescent="0.2">
      <c r="B20" s="448"/>
      <c r="C20" s="448"/>
      <c r="D20" s="448"/>
      <c r="E20" s="448"/>
      <c r="F20" s="448"/>
      <c r="G20" s="448"/>
      <c r="H20" s="69"/>
      <c r="I20" s="69"/>
      <c r="J20" s="5"/>
    </row>
    <row r="21" spans="2:10" x14ac:dyDescent="0.2">
      <c r="J21" s="5"/>
    </row>
    <row r="22" spans="2:10" x14ac:dyDescent="0.2">
      <c r="C22" s="4"/>
      <c r="D22" s="4"/>
      <c r="E22" s="4"/>
      <c r="I22" s="4"/>
      <c r="J22" s="5"/>
    </row>
    <row r="23" spans="2:10" x14ac:dyDescent="0.2">
      <c r="C23" s="4"/>
      <c r="D23" s="4"/>
      <c r="E23" s="4"/>
      <c r="I23" s="4"/>
      <c r="J23" s="5"/>
    </row>
    <row r="24" spans="2:10" x14ac:dyDescent="0.2">
      <c r="C24" s="4"/>
      <c r="D24" s="4"/>
      <c r="E24" s="4"/>
      <c r="I24" s="4"/>
      <c r="J24" s="5"/>
    </row>
    <row r="25" spans="2:10" x14ac:dyDescent="0.2">
      <c r="J25" s="5"/>
    </row>
    <row r="26" spans="2:10" x14ac:dyDescent="0.2">
      <c r="J26" s="5"/>
    </row>
    <row r="27" spans="2:10" x14ac:dyDescent="0.2">
      <c r="J27" s="5"/>
    </row>
    <row r="28" spans="2:10" x14ac:dyDescent="0.2">
      <c r="J28" s="5"/>
    </row>
    <row r="29" spans="2:10" x14ac:dyDescent="0.2">
      <c r="J29" s="5"/>
    </row>
    <row r="30" spans="2:10" x14ac:dyDescent="0.2">
      <c r="J30" s="5"/>
    </row>
    <row r="31" spans="2:10" x14ac:dyDescent="0.2">
      <c r="J31" s="5"/>
    </row>
    <row r="32" spans="2:10" x14ac:dyDescent="0.2">
      <c r="J32" s="5"/>
    </row>
    <row r="33" spans="1:10" x14ac:dyDescent="0.2">
      <c r="A33" s="1"/>
    </row>
    <row r="34" spans="1:10" x14ac:dyDescent="0.2">
      <c r="J34" s="1"/>
    </row>
    <row r="35" spans="1:10" x14ac:dyDescent="0.2">
      <c r="J35" s="1"/>
    </row>
    <row r="36" spans="1:10" x14ac:dyDescent="0.2">
      <c r="J36" s="1"/>
    </row>
    <row r="37" spans="1:10" x14ac:dyDescent="0.2">
      <c r="J37" s="5"/>
    </row>
    <row r="38" spans="1:10" x14ac:dyDescent="0.2">
      <c r="J38" s="5"/>
    </row>
    <row r="39" spans="1:10" ht="15.75" x14ac:dyDescent="0.25">
      <c r="J39" s="62"/>
    </row>
    <row r="40" spans="1:10" x14ac:dyDescent="0.2">
      <c r="J40" s="69"/>
    </row>
    <row r="41" spans="1:10" x14ac:dyDescent="0.2">
      <c r="J41" s="1"/>
    </row>
    <row r="42" spans="1:10" x14ac:dyDescent="0.2">
      <c r="J42" s="1"/>
    </row>
    <row r="43" spans="1:10" x14ac:dyDescent="0.2">
      <c r="J43" s="1"/>
    </row>
    <row r="44" spans="1:10" x14ac:dyDescent="0.2">
      <c r="J44" s="1"/>
    </row>
    <row r="45" spans="1:10" x14ac:dyDescent="0.2">
      <c r="J45" s="1"/>
    </row>
    <row r="46" spans="1:10" x14ac:dyDescent="0.2">
      <c r="J46" s="1"/>
    </row>
  </sheetData>
  <mergeCells count="5">
    <mergeCell ref="B1:I1"/>
    <mergeCell ref="B19:D19"/>
    <mergeCell ref="E19:G19"/>
    <mergeCell ref="B20:D20"/>
    <mergeCell ref="E20:G20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H212"/>
  <sheetViews>
    <sheetView view="pageBreakPreview" topLeftCell="A15" zoomScaleSheetLayoutView="100" workbookViewId="0">
      <selection activeCell="B35" sqref="B35"/>
    </sheetView>
  </sheetViews>
  <sheetFormatPr defaultRowHeight="12.75" x14ac:dyDescent="0.2"/>
  <cols>
    <col min="2" max="2" width="15.28515625" customWidth="1"/>
    <col min="3" max="3" width="52.28515625" customWidth="1"/>
  </cols>
  <sheetData>
    <row r="1" spans="1:8" ht="13.5" thickBot="1" x14ac:dyDescent="0.25"/>
    <row r="2" spans="1:8" x14ac:dyDescent="0.2">
      <c r="A2" s="684" t="s">
        <v>405</v>
      </c>
      <c r="B2" s="685"/>
      <c r="C2" s="685"/>
      <c r="D2" s="685"/>
      <c r="E2" s="685"/>
      <c r="F2" s="685"/>
      <c r="G2" s="685"/>
      <c r="H2" s="686"/>
    </row>
    <row r="3" spans="1:8" x14ac:dyDescent="0.2">
      <c r="A3" s="687"/>
      <c r="B3" s="644"/>
      <c r="C3" s="644"/>
      <c r="D3" s="644"/>
      <c r="E3" s="644"/>
      <c r="F3" s="644"/>
      <c r="G3" s="644"/>
      <c r="H3" s="688"/>
    </row>
    <row r="4" spans="1:8" ht="13.5" thickBot="1" x14ac:dyDescent="0.25">
      <c r="A4" s="689"/>
      <c r="B4" s="690"/>
      <c r="C4" s="690"/>
      <c r="D4" s="690"/>
      <c r="E4" s="690"/>
      <c r="F4" s="690"/>
      <c r="G4" s="690"/>
      <c r="H4" s="691"/>
    </row>
    <row r="5" spans="1:8" x14ac:dyDescent="0.2">
      <c r="A5" s="108" t="s">
        <v>164</v>
      </c>
      <c r="B5" s="109" t="s">
        <v>165</v>
      </c>
      <c r="C5" s="311" t="s">
        <v>408</v>
      </c>
      <c r="D5" s="110"/>
      <c r="E5" s="110"/>
      <c r="F5" s="110"/>
      <c r="G5" s="110"/>
      <c r="H5" s="111"/>
    </row>
    <row r="6" spans="1:8" ht="13.5" thickBot="1" x14ac:dyDescent="0.25">
      <c r="A6" s="112" t="s">
        <v>166</v>
      </c>
      <c r="B6" s="113" t="s">
        <v>167</v>
      </c>
      <c r="C6" s="113"/>
      <c r="D6" s="114"/>
      <c r="E6" s="114"/>
      <c r="F6" s="114"/>
      <c r="G6" s="114"/>
      <c r="H6" s="115" t="s">
        <v>168</v>
      </c>
    </row>
    <row r="7" spans="1:8" ht="13.5" thickBot="1" x14ac:dyDescent="0.25">
      <c r="A7" s="692" t="s">
        <v>169</v>
      </c>
      <c r="B7" s="693" t="s">
        <v>122</v>
      </c>
      <c r="C7" s="693" t="s">
        <v>170</v>
      </c>
      <c r="D7" s="693" t="s">
        <v>171</v>
      </c>
      <c r="E7" s="693" t="s">
        <v>172</v>
      </c>
      <c r="F7" s="693" t="s">
        <v>173</v>
      </c>
      <c r="G7" s="693" t="s">
        <v>174</v>
      </c>
      <c r="H7" s="694" t="s">
        <v>115</v>
      </c>
    </row>
    <row r="8" spans="1:8" ht="13.5" thickBot="1" x14ac:dyDescent="0.25">
      <c r="A8" s="692"/>
      <c r="B8" s="693"/>
      <c r="C8" s="693"/>
      <c r="D8" s="693"/>
      <c r="E8" s="693"/>
      <c r="F8" s="693"/>
      <c r="G8" s="693"/>
      <c r="H8" s="694"/>
    </row>
    <row r="9" spans="1:8" x14ac:dyDescent="0.2">
      <c r="A9" s="116"/>
      <c r="B9" s="117"/>
      <c r="C9" s="118"/>
      <c r="D9" s="119"/>
      <c r="E9" s="120"/>
      <c r="F9" s="121"/>
      <c r="G9" s="121"/>
      <c r="H9" s="121"/>
    </row>
    <row r="10" spans="1:8" ht="22.5" x14ac:dyDescent="0.2">
      <c r="A10" s="116" t="s">
        <v>318</v>
      </c>
      <c r="B10" s="117">
        <v>38135</v>
      </c>
      <c r="C10" s="118" t="s">
        <v>319</v>
      </c>
      <c r="D10" s="119" t="s">
        <v>12</v>
      </c>
      <c r="E10" s="120">
        <f>1.82*3*0.5</f>
        <v>2.73</v>
      </c>
      <c r="F10" s="123">
        <v>36.340000000000003</v>
      </c>
      <c r="G10" s="121">
        <f>E10*F10</f>
        <v>99.208200000000005</v>
      </c>
      <c r="H10" s="121"/>
    </row>
    <row r="11" spans="1:8" x14ac:dyDescent="0.2">
      <c r="A11" s="122" t="s">
        <v>10</v>
      </c>
      <c r="B11" s="117" t="s">
        <v>243</v>
      </c>
      <c r="C11" s="122" t="s">
        <v>175</v>
      </c>
      <c r="D11" s="119" t="s">
        <v>12</v>
      </c>
      <c r="E11" s="124">
        <f>(1.82*4.6)-E10</f>
        <v>5.6419999999999995</v>
      </c>
      <c r="F11" s="125">
        <v>10.86</v>
      </c>
      <c r="G11" s="121">
        <f>E11*F11</f>
        <v>61.272119999999994</v>
      </c>
      <c r="H11" s="121"/>
    </row>
    <row r="12" spans="1:8" x14ac:dyDescent="0.2">
      <c r="A12" s="122"/>
      <c r="B12" s="122"/>
      <c r="C12" s="122"/>
      <c r="D12" s="119"/>
      <c r="E12" s="126"/>
      <c r="F12" s="121"/>
      <c r="G12" s="121"/>
      <c r="H12" s="121">
        <f>G11+G10+G9</f>
        <v>160.48032000000001</v>
      </c>
    </row>
    <row r="13" spans="1:8" x14ac:dyDescent="0.2">
      <c r="A13" s="122"/>
      <c r="B13" s="122"/>
      <c r="C13" s="122"/>
      <c r="D13" s="122"/>
      <c r="E13" s="121"/>
      <c r="F13" s="121"/>
      <c r="G13" s="121"/>
      <c r="H13" s="121"/>
    </row>
    <row r="14" spans="1:8" x14ac:dyDescent="0.2">
      <c r="A14" s="122"/>
      <c r="B14" s="122"/>
      <c r="C14" s="122"/>
      <c r="D14" s="122"/>
      <c r="E14" s="121"/>
      <c r="F14" s="121"/>
      <c r="G14" s="121"/>
      <c r="H14" s="121"/>
    </row>
    <row r="15" spans="1:8" x14ac:dyDescent="0.2">
      <c r="A15" s="682" t="s">
        <v>176</v>
      </c>
      <c r="B15" s="682"/>
      <c r="C15" s="682"/>
      <c r="D15" s="682"/>
      <c r="E15" s="682"/>
      <c r="F15" s="682"/>
      <c r="G15" s="682"/>
      <c r="H15" s="127">
        <f>SUM(H9:H14)</f>
        <v>160.48032000000001</v>
      </c>
    </row>
    <row r="16" spans="1:8" x14ac:dyDescent="0.2">
      <c r="A16" s="683"/>
      <c r="B16" s="683"/>
      <c r="C16" s="683"/>
      <c r="D16" s="683"/>
      <c r="E16" s="683"/>
      <c r="F16" s="683"/>
      <c r="G16" s="683"/>
      <c r="H16" s="127"/>
    </row>
    <row r="17" spans="1:8" x14ac:dyDescent="0.2">
      <c r="A17" s="683" t="s">
        <v>177</v>
      </c>
      <c r="B17" s="683"/>
      <c r="C17" s="683"/>
      <c r="D17" s="683"/>
      <c r="E17" s="683"/>
      <c r="F17" s="683"/>
      <c r="G17" s="683"/>
      <c r="H17" s="128">
        <f>SUM(H15+H16)</f>
        <v>160.48032000000001</v>
      </c>
    </row>
    <row r="21" spans="1:8" x14ac:dyDescent="0.2">
      <c r="C21" s="81" t="s">
        <v>228</v>
      </c>
    </row>
    <row r="23" spans="1:8" x14ac:dyDescent="0.2">
      <c r="C23" s="1" t="s">
        <v>406</v>
      </c>
    </row>
    <row r="24" spans="1:8" x14ac:dyDescent="0.2">
      <c r="C24" s="81" t="s">
        <v>392</v>
      </c>
    </row>
    <row r="26" spans="1:8" ht="13.5" thickBot="1" x14ac:dyDescent="0.25"/>
    <row r="27" spans="1:8" x14ac:dyDescent="0.2">
      <c r="A27" s="684" t="s">
        <v>407</v>
      </c>
      <c r="B27" s="685"/>
      <c r="C27" s="685"/>
      <c r="D27" s="685"/>
      <c r="E27" s="685"/>
      <c r="F27" s="685"/>
      <c r="G27" s="685"/>
      <c r="H27" s="686"/>
    </row>
    <row r="28" spans="1:8" x14ac:dyDescent="0.2">
      <c r="A28" s="687"/>
      <c r="B28" s="644"/>
      <c r="C28" s="644"/>
      <c r="D28" s="644"/>
      <c r="E28" s="644"/>
      <c r="F28" s="644"/>
      <c r="G28" s="644"/>
      <c r="H28" s="688"/>
    </row>
    <row r="29" spans="1:8" ht="13.5" thickBot="1" x14ac:dyDescent="0.25">
      <c r="A29" s="689"/>
      <c r="B29" s="690"/>
      <c r="C29" s="690"/>
      <c r="D29" s="690"/>
      <c r="E29" s="690"/>
      <c r="F29" s="690"/>
      <c r="G29" s="690"/>
      <c r="H29" s="691"/>
    </row>
    <row r="30" spans="1:8" x14ac:dyDescent="0.2">
      <c r="A30" s="108" t="s">
        <v>164</v>
      </c>
      <c r="B30" s="109" t="s">
        <v>165</v>
      </c>
      <c r="C30" s="311" t="s">
        <v>408</v>
      </c>
      <c r="D30" s="110"/>
      <c r="E30" s="110"/>
      <c r="F30" s="110"/>
      <c r="G30" s="110"/>
      <c r="H30" s="111"/>
    </row>
    <row r="31" spans="1:8" ht="13.5" thickBot="1" x14ac:dyDescent="0.25">
      <c r="A31" s="112" t="s">
        <v>166</v>
      </c>
      <c r="B31" s="113" t="s">
        <v>167</v>
      </c>
      <c r="C31" s="113"/>
      <c r="D31" s="114"/>
      <c r="E31" s="114"/>
      <c r="F31" s="114"/>
      <c r="G31" s="114"/>
      <c r="H31" s="115" t="s">
        <v>168</v>
      </c>
    </row>
    <row r="32" spans="1:8" ht="13.5" thickBot="1" x14ac:dyDescent="0.25">
      <c r="A32" s="692" t="s">
        <v>169</v>
      </c>
      <c r="B32" s="693" t="s">
        <v>122</v>
      </c>
      <c r="C32" s="693" t="s">
        <v>170</v>
      </c>
      <c r="D32" s="693" t="s">
        <v>171</v>
      </c>
      <c r="E32" s="693" t="s">
        <v>172</v>
      </c>
      <c r="F32" s="693" t="s">
        <v>173</v>
      </c>
      <c r="G32" s="693" t="s">
        <v>174</v>
      </c>
      <c r="H32" s="694" t="s">
        <v>115</v>
      </c>
    </row>
    <row r="33" spans="1:8" ht="13.5" thickBot="1" x14ac:dyDescent="0.25">
      <c r="A33" s="692"/>
      <c r="B33" s="693"/>
      <c r="C33" s="693"/>
      <c r="D33" s="693"/>
      <c r="E33" s="693"/>
      <c r="F33" s="693"/>
      <c r="G33" s="693"/>
      <c r="H33" s="694"/>
    </row>
    <row r="34" spans="1:8" x14ac:dyDescent="0.2">
      <c r="A34" s="116"/>
      <c r="B34" s="117"/>
      <c r="C34" s="118"/>
      <c r="D34" s="119"/>
      <c r="E34" s="120"/>
      <c r="F34" s="121"/>
      <c r="G34" s="121"/>
      <c r="H34" s="121"/>
    </row>
    <row r="35" spans="1:8" ht="22.5" x14ac:dyDescent="0.2">
      <c r="A35" s="116" t="str">
        <f>A10</f>
        <v>INSUMO</v>
      </c>
      <c r="B35" s="117">
        <v>38135</v>
      </c>
      <c r="C35" s="118" t="s">
        <v>319</v>
      </c>
      <c r="D35" s="119" t="s">
        <v>12</v>
      </c>
      <c r="E35" s="120">
        <f>3*1.76*0.5</f>
        <v>2.64</v>
      </c>
      <c r="F35" s="123">
        <v>36.340000000000003</v>
      </c>
      <c r="G35" s="121">
        <f>E35*F35</f>
        <v>95.937600000000018</v>
      </c>
      <c r="H35" s="121"/>
    </row>
    <row r="36" spans="1:8" x14ac:dyDescent="0.2">
      <c r="A36" s="116" t="str">
        <f>A11</f>
        <v>SINAPI</v>
      </c>
      <c r="B36" s="117" t="s">
        <v>243</v>
      </c>
      <c r="C36" s="122" t="s">
        <v>175</v>
      </c>
      <c r="D36" s="119" t="s">
        <v>12</v>
      </c>
      <c r="E36" s="124">
        <f>(4.6*1.76)-E35</f>
        <v>5.4559999999999995</v>
      </c>
      <c r="F36" s="125">
        <v>10.86</v>
      </c>
      <c r="G36" s="121">
        <f>E36*F36</f>
        <v>59.252159999999989</v>
      </c>
      <c r="H36" s="121"/>
    </row>
    <row r="37" spans="1:8" x14ac:dyDescent="0.2">
      <c r="A37" s="122"/>
      <c r="B37" s="122"/>
      <c r="C37" s="122"/>
      <c r="D37" s="119"/>
      <c r="E37" s="126"/>
      <c r="F37" s="121"/>
      <c r="G37" s="121"/>
      <c r="H37" s="121">
        <f>G36+G35+G34</f>
        <v>155.18976000000001</v>
      </c>
    </row>
    <row r="38" spans="1:8" x14ac:dyDescent="0.2">
      <c r="A38" s="122"/>
      <c r="B38" s="122"/>
      <c r="C38" s="122"/>
      <c r="D38" s="122"/>
      <c r="E38" s="121"/>
      <c r="F38" s="121"/>
      <c r="G38" s="121"/>
      <c r="H38" s="121"/>
    </row>
    <row r="39" spans="1:8" x14ac:dyDescent="0.2">
      <c r="A39" s="122"/>
      <c r="B39" s="122"/>
      <c r="C39" s="122"/>
      <c r="D39" s="122"/>
      <c r="E39" s="121"/>
      <c r="F39" s="121"/>
      <c r="G39" s="121"/>
      <c r="H39" s="121"/>
    </row>
    <row r="40" spans="1:8" x14ac:dyDescent="0.2">
      <c r="A40" s="682" t="s">
        <v>176</v>
      </c>
      <c r="B40" s="682"/>
      <c r="C40" s="682"/>
      <c r="D40" s="682"/>
      <c r="E40" s="682"/>
      <c r="F40" s="682"/>
      <c r="G40" s="682"/>
      <c r="H40" s="127">
        <f>SUM(H34:H39)</f>
        <v>155.18976000000001</v>
      </c>
    </row>
    <row r="41" spans="1:8" x14ac:dyDescent="0.2">
      <c r="A41" s="683"/>
      <c r="B41" s="683"/>
      <c r="C41" s="683"/>
      <c r="D41" s="683"/>
      <c r="E41" s="683"/>
      <c r="F41" s="683"/>
      <c r="G41" s="683"/>
      <c r="H41" s="127"/>
    </row>
    <row r="42" spans="1:8" x14ac:dyDescent="0.2">
      <c r="A42" s="683" t="s">
        <v>177</v>
      </c>
      <c r="B42" s="683"/>
      <c r="C42" s="683"/>
      <c r="D42" s="683"/>
      <c r="E42" s="683"/>
      <c r="F42" s="683"/>
      <c r="G42" s="683"/>
      <c r="H42" s="128">
        <f>SUM(H40+H41)</f>
        <v>155.18976000000001</v>
      </c>
    </row>
    <row r="44" spans="1:8" x14ac:dyDescent="0.2">
      <c r="C44" s="81"/>
    </row>
    <row r="45" spans="1:8" x14ac:dyDescent="0.2">
      <c r="C45" t="s">
        <v>228</v>
      </c>
    </row>
    <row r="46" spans="1:8" x14ac:dyDescent="0.2">
      <c r="C46" s="1" t="s">
        <v>406</v>
      </c>
    </row>
    <row r="47" spans="1:8" x14ac:dyDescent="0.2">
      <c r="C47" s="81" t="s">
        <v>392</v>
      </c>
    </row>
    <row r="49" spans="1:8" x14ac:dyDescent="0.2">
      <c r="C49" s="81"/>
    </row>
    <row r="50" spans="1:8" ht="13.5" thickBot="1" x14ac:dyDescent="0.25"/>
    <row r="51" spans="1:8" x14ac:dyDescent="0.2">
      <c r="A51" s="684" t="s">
        <v>409</v>
      </c>
      <c r="B51" s="685"/>
      <c r="C51" s="685"/>
      <c r="D51" s="685"/>
      <c r="E51" s="685"/>
      <c r="F51" s="685"/>
      <c r="G51" s="685"/>
      <c r="H51" s="686"/>
    </row>
    <row r="52" spans="1:8" x14ac:dyDescent="0.2">
      <c r="A52" s="687"/>
      <c r="B52" s="644"/>
      <c r="C52" s="644"/>
      <c r="D52" s="644"/>
      <c r="E52" s="644"/>
      <c r="F52" s="644"/>
      <c r="G52" s="644"/>
      <c r="H52" s="688"/>
    </row>
    <row r="53" spans="1:8" ht="13.5" thickBot="1" x14ac:dyDescent="0.25">
      <c r="A53" s="689"/>
      <c r="B53" s="690"/>
      <c r="C53" s="690"/>
      <c r="D53" s="690"/>
      <c r="E53" s="690"/>
      <c r="F53" s="690"/>
      <c r="G53" s="690"/>
      <c r="H53" s="691"/>
    </row>
    <row r="54" spans="1:8" x14ac:dyDescent="0.2">
      <c r="A54" s="108" t="s">
        <v>164</v>
      </c>
      <c r="B54" s="109" t="s">
        <v>165</v>
      </c>
      <c r="C54" s="311" t="s">
        <v>410</v>
      </c>
      <c r="D54" s="110"/>
      <c r="E54" s="110"/>
      <c r="F54" s="110"/>
      <c r="G54" s="110"/>
      <c r="H54" s="111"/>
    </row>
    <row r="55" spans="1:8" ht="13.5" thickBot="1" x14ac:dyDescent="0.25">
      <c r="A55" s="112" t="s">
        <v>166</v>
      </c>
      <c r="B55" s="113" t="s">
        <v>167</v>
      </c>
      <c r="C55" s="113"/>
      <c r="D55" s="114"/>
      <c r="E55" s="114"/>
      <c r="F55" s="114"/>
      <c r="G55" s="114"/>
      <c r="H55" s="115" t="s">
        <v>168</v>
      </c>
    </row>
    <row r="56" spans="1:8" ht="13.5" thickBot="1" x14ac:dyDescent="0.25">
      <c r="A56" s="692" t="s">
        <v>169</v>
      </c>
      <c r="B56" s="693" t="s">
        <v>122</v>
      </c>
      <c r="C56" s="693" t="s">
        <v>170</v>
      </c>
      <c r="D56" s="693" t="s">
        <v>171</v>
      </c>
      <c r="E56" s="693" t="s">
        <v>172</v>
      </c>
      <c r="F56" s="693" t="s">
        <v>173</v>
      </c>
      <c r="G56" s="693" t="s">
        <v>174</v>
      </c>
      <c r="H56" s="694" t="s">
        <v>115</v>
      </c>
    </row>
    <row r="57" spans="1:8" ht="13.5" thickBot="1" x14ac:dyDescent="0.25">
      <c r="A57" s="692"/>
      <c r="B57" s="693"/>
      <c r="C57" s="693"/>
      <c r="D57" s="693"/>
      <c r="E57" s="693"/>
      <c r="F57" s="693"/>
      <c r="G57" s="693"/>
      <c r="H57" s="694"/>
    </row>
    <row r="58" spans="1:8" x14ac:dyDescent="0.2">
      <c r="A58" s="116"/>
      <c r="B58" s="117"/>
      <c r="C58" s="118"/>
      <c r="D58" s="119"/>
      <c r="E58" s="120"/>
      <c r="F58" s="121"/>
      <c r="G58" s="121"/>
      <c r="H58" s="121"/>
    </row>
    <row r="59" spans="1:8" ht="22.5" x14ac:dyDescent="0.2">
      <c r="A59" s="116">
        <f>A34</f>
        <v>0</v>
      </c>
      <c r="B59" s="117">
        <v>38135</v>
      </c>
      <c r="C59" s="118" t="s">
        <v>319</v>
      </c>
      <c r="D59" s="119" t="s">
        <v>12</v>
      </c>
      <c r="E59" s="120">
        <f>3*0.88*0.5</f>
        <v>1.32</v>
      </c>
      <c r="F59" s="123">
        <v>36.340000000000003</v>
      </c>
      <c r="G59" s="121">
        <f>E59*F59</f>
        <v>47.968800000000009</v>
      </c>
      <c r="H59" s="121"/>
    </row>
    <row r="60" spans="1:8" x14ac:dyDescent="0.2">
      <c r="A60" s="116" t="str">
        <f>A35</f>
        <v>INSUMO</v>
      </c>
      <c r="B60" s="117" t="s">
        <v>243</v>
      </c>
      <c r="C60" s="122" t="s">
        <v>175</v>
      </c>
      <c r="D60" s="119" t="s">
        <v>12</v>
      </c>
      <c r="E60" s="124">
        <f>(4.6*0.88)-E59</f>
        <v>2.7279999999999998</v>
      </c>
      <c r="F60" s="125">
        <v>10.86</v>
      </c>
      <c r="G60" s="121">
        <f>E60*F60</f>
        <v>29.626079999999995</v>
      </c>
      <c r="H60" s="121"/>
    </row>
    <row r="61" spans="1:8" x14ac:dyDescent="0.2">
      <c r="A61" s="122"/>
      <c r="B61" s="122"/>
      <c r="C61" s="122"/>
      <c r="D61" s="119"/>
      <c r="E61" s="126"/>
      <c r="F61" s="121"/>
      <c r="G61" s="121"/>
      <c r="H61" s="121">
        <f>G60+G59+G58</f>
        <v>77.594880000000003</v>
      </c>
    </row>
    <row r="62" spans="1:8" x14ac:dyDescent="0.2">
      <c r="A62" s="122"/>
      <c r="B62" s="122"/>
      <c r="C62" s="122"/>
      <c r="D62" s="122"/>
      <c r="E62" s="121"/>
      <c r="F62" s="121"/>
      <c r="G62" s="121"/>
      <c r="H62" s="121"/>
    </row>
    <row r="63" spans="1:8" x14ac:dyDescent="0.2">
      <c r="A63" s="122"/>
      <c r="B63" s="122"/>
      <c r="C63" s="122"/>
      <c r="D63" s="122"/>
      <c r="E63" s="121"/>
      <c r="F63" s="121"/>
      <c r="G63" s="121"/>
      <c r="H63" s="121"/>
    </row>
    <row r="64" spans="1:8" x14ac:dyDescent="0.2">
      <c r="A64" s="682" t="s">
        <v>176</v>
      </c>
      <c r="B64" s="682"/>
      <c r="C64" s="682"/>
      <c r="D64" s="682"/>
      <c r="E64" s="682"/>
      <c r="F64" s="682"/>
      <c r="G64" s="682"/>
      <c r="H64" s="127">
        <f>SUM(H58:H63)</f>
        <v>77.594880000000003</v>
      </c>
    </row>
    <row r="65" spans="1:8" x14ac:dyDescent="0.2">
      <c r="A65" s="683"/>
      <c r="B65" s="683"/>
      <c r="C65" s="683"/>
      <c r="D65" s="683"/>
      <c r="E65" s="683"/>
      <c r="F65" s="683"/>
      <c r="G65" s="683"/>
      <c r="H65" s="127"/>
    </row>
    <row r="66" spans="1:8" x14ac:dyDescent="0.2">
      <c r="A66" s="683" t="s">
        <v>177</v>
      </c>
      <c r="B66" s="683"/>
      <c r="C66" s="683"/>
      <c r="D66" s="683"/>
      <c r="E66" s="683"/>
      <c r="F66" s="683"/>
      <c r="G66" s="683"/>
      <c r="H66" s="128">
        <f>SUM(H64+H65)</f>
        <v>77.594880000000003</v>
      </c>
    </row>
    <row r="68" spans="1:8" x14ac:dyDescent="0.2">
      <c r="C68" s="81"/>
    </row>
    <row r="69" spans="1:8" x14ac:dyDescent="0.2">
      <c r="C69" t="s">
        <v>228</v>
      </c>
    </row>
    <row r="70" spans="1:8" x14ac:dyDescent="0.2">
      <c r="C70" s="1" t="s">
        <v>406</v>
      </c>
    </row>
    <row r="71" spans="1:8" x14ac:dyDescent="0.2">
      <c r="C71" s="81" t="s">
        <v>392</v>
      </c>
    </row>
    <row r="73" spans="1:8" ht="13.5" thickBot="1" x14ac:dyDescent="0.25"/>
    <row r="74" spans="1:8" x14ac:dyDescent="0.2">
      <c r="A74" s="684" t="s">
        <v>411</v>
      </c>
      <c r="B74" s="685"/>
      <c r="C74" s="685"/>
      <c r="D74" s="685"/>
      <c r="E74" s="685"/>
      <c r="F74" s="685"/>
      <c r="G74" s="685"/>
      <c r="H74" s="686"/>
    </row>
    <row r="75" spans="1:8" x14ac:dyDescent="0.2">
      <c r="A75" s="687"/>
      <c r="B75" s="644"/>
      <c r="C75" s="644"/>
      <c r="D75" s="644"/>
      <c r="E75" s="644"/>
      <c r="F75" s="644"/>
      <c r="G75" s="644"/>
      <c r="H75" s="688"/>
    </row>
    <row r="76" spans="1:8" ht="13.5" thickBot="1" x14ac:dyDescent="0.25">
      <c r="A76" s="689"/>
      <c r="B76" s="690"/>
      <c r="C76" s="690"/>
      <c r="D76" s="690"/>
      <c r="E76" s="690"/>
      <c r="F76" s="690"/>
      <c r="G76" s="690"/>
      <c r="H76" s="691"/>
    </row>
    <row r="77" spans="1:8" x14ac:dyDescent="0.2">
      <c r="A77" s="108" t="s">
        <v>164</v>
      </c>
      <c r="B77" s="109" t="s">
        <v>165</v>
      </c>
      <c r="C77" s="311" t="s">
        <v>412</v>
      </c>
      <c r="D77" s="110"/>
      <c r="E77" s="110"/>
      <c r="F77" s="110"/>
      <c r="G77" s="110"/>
      <c r="H77" s="111"/>
    </row>
    <row r="78" spans="1:8" ht="13.5" thickBot="1" x14ac:dyDescent="0.25">
      <c r="A78" s="112" t="s">
        <v>166</v>
      </c>
      <c r="B78" s="113" t="s">
        <v>167</v>
      </c>
      <c r="C78" s="113"/>
      <c r="D78" s="114"/>
      <c r="E78" s="114"/>
      <c r="F78" s="114"/>
      <c r="G78" s="114"/>
      <c r="H78" s="115" t="s">
        <v>168</v>
      </c>
    </row>
    <row r="79" spans="1:8" ht="13.5" thickBot="1" x14ac:dyDescent="0.25">
      <c r="A79" s="692" t="s">
        <v>169</v>
      </c>
      <c r="B79" s="693" t="s">
        <v>122</v>
      </c>
      <c r="C79" s="693" t="s">
        <v>170</v>
      </c>
      <c r="D79" s="693" t="s">
        <v>171</v>
      </c>
      <c r="E79" s="693" t="s">
        <v>172</v>
      </c>
      <c r="F79" s="693" t="s">
        <v>173</v>
      </c>
      <c r="G79" s="693" t="s">
        <v>174</v>
      </c>
      <c r="H79" s="694" t="s">
        <v>115</v>
      </c>
    </row>
    <row r="80" spans="1:8" ht="13.5" thickBot="1" x14ac:dyDescent="0.25">
      <c r="A80" s="692"/>
      <c r="B80" s="693"/>
      <c r="C80" s="693"/>
      <c r="D80" s="693"/>
      <c r="E80" s="693"/>
      <c r="F80" s="693"/>
      <c r="G80" s="693"/>
      <c r="H80" s="694"/>
    </row>
    <row r="81" spans="1:8" x14ac:dyDescent="0.2">
      <c r="A81" s="116"/>
      <c r="B81" s="117"/>
      <c r="C81" s="118"/>
      <c r="D81" s="119"/>
      <c r="E81" s="120"/>
      <c r="F81" s="121"/>
      <c r="G81" s="121"/>
      <c r="H81" s="121"/>
    </row>
    <row r="82" spans="1:8" ht="22.5" x14ac:dyDescent="0.2">
      <c r="A82" s="116">
        <f>A57</f>
        <v>0</v>
      </c>
      <c r="B82" s="117">
        <v>38135</v>
      </c>
      <c r="C82" s="118" t="s">
        <v>319</v>
      </c>
      <c r="D82" s="119" t="s">
        <v>12</v>
      </c>
      <c r="E82" s="120">
        <f>3*0.86*0.5</f>
        <v>1.29</v>
      </c>
      <c r="F82" s="123">
        <v>36.340000000000003</v>
      </c>
      <c r="G82" s="121">
        <f>E82*F82</f>
        <v>46.878600000000006</v>
      </c>
      <c r="H82" s="121"/>
    </row>
    <row r="83" spans="1:8" x14ac:dyDescent="0.2">
      <c r="A83" s="116">
        <f>A58</f>
        <v>0</v>
      </c>
      <c r="B83" s="117" t="s">
        <v>243</v>
      </c>
      <c r="C83" s="122" t="s">
        <v>175</v>
      </c>
      <c r="D83" s="119" t="s">
        <v>12</v>
      </c>
      <c r="E83" s="124">
        <f>(4.6*0.86)-E82</f>
        <v>2.6659999999999995</v>
      </c>
      <c r="F83" s="125">
        <v>10.86</v>
      </c>
      <c r="G83" s="121">
        <f>E83*F83</f>
        <v>28.952759999999994</v>
      </c>
      <c r="H83" s="121"/>
    </row>
    <row r="84" spans="1:8" x14ac:dyDescent="0.2">
      <c r="A84" s="122"/>
      <c r="B84" s="122"/>
      <c r="C84" s="122"/>
      <c r="D84" s="119"/>
      <c r="E84" s="126"/>
      <c r="F84" s="121"/>
      <c r="G84" s="121"/>
      <c r="H84" s="121">
        <f>G83+G82+G81</f>
        <v>75.831360000000004</v>
      </c>
    </row>
    <row r="85" spans="1:8" x14ac:dyDescent="0.2">
      <c r="A85" s="122"/>
      <c r="B85" s="122"/>
      <c r="C85" s="122"/>
      <c r="D85" s="122"/>
      <c r="E85" s="121"/>
      <c r="F85" s="121"/>
      <c r="G85" s="121"/>
      <c r="H85" s="121"/>
    </row>
    <row r="86" spans="1:8" x14ac:dyDescent="0.2">
      <c r="A86" s="122"/>
      <c r="B86" s="122"/>
      <c r="C86" s="122"/>
      <c r="D86" s="122"/>
      <c r="E86" s="121"/>
      <c r="F86" s="121"/>
      <c r="G86" s="121"/>
      <c r="H86" s="121"/>
    </row>
    <row r="87" spans="1:8" x14ac:dyDescent="0.2">
      <c r="A87" s="682" t="s">
        <v>176</v>
      </c>
      <c r="B87" s="682"/>
      <c r="C87" s="682"/>
      <c r="D87" s="682"/>
      <c r="E87" s="682"/>
      <c r="F87" s="682"/>
      <c r="G87" s="682"/>
      <c r="H87" s="127">
        <f>SUM(H81:H86)</f>
        <v>75.831360000000004</v>
      </c>
    </row>
    <row r="88" spans="1:8" x14ac:dyDescent="0.2">
      <c r="A88" s="683"/>
      <c r="B88" s="683"/>
      <c r="C88" s="683"/>
      <c r="D88" s="683"/>
      <c r="E88" s="683"/>
      <c r="F88" s="683"/>
      <c r="G88" s="683"/>
      <c r="H88" s="127"/>
    </row>
    <row r="89" spans="1:8" x14ac:dyDescent="0.2">
      <c r="A89" s="683" t="s">
        <v>177</v>
      </c>
      <c r="B89" s="683"/>
      <c r="C89" s="683"/>
      <c r="D89" s="683"/>
      <c r="E89" s="683"/>
      <c r="F89" s="683"/>
      <c r="G89" s="683"/>
      <c r="H89" s="128">
        <f>SUM(H87+H88)</f>
        <v>75.831360000000004</v>
      </c>
    </row>
    <row r="91" spans="1:8" x14ac:dyDescent="0.2">
      <c r="C91" s="81"/>
    </row>
    <row r="92" spans="1:8" x14ac:dyDescent="0.2">
      <c r="C92" t="s">
        <v>228</v>
      </c>
    </row>
    <row r="93" spans="1:8" x14ac:dyDescent="0.2">
      <c r="C93" s="1" t="s">
        <v>406</v>
      </c>
    </row>
    <row r="94" spans="1:8" x14ac:dyDescent="0.2">
      <c r="C94" s="81" t="s">
        <v>392</v>
      </c>
    </row>
    <row r="98" spans="1:8" ht="13.5" thickBot="1" x14ac:dyDescent="0.25"/>
    <row r="99" spans="1:8" x14ac:dyDescent="0.2">
      <c r="A99" s="684" t="s">
        <v>413</v>
      </c>
      <c r="B99" s="685"/>
      <c r="C99" s="685"/>
      <c r="D99" s="685"/>
      <c r="E99" s="685"/>
      <c r="F99" s="685"/>
      <c r="G99" s="685"/>
      <c r="H99" s="686"/>
    </row>
    <row r="100" spans="1:8" x14ac:dyDescent="0.2">
      <c r="A100" s="687"/>
      <c r="B100" s="644"/>
      <c r="C100" s="644"/>
      <c r="D100" s="644"/>
      <c r="E100" s="644"/>
      <c r="F100" s="644"/>
      <c r="G100" s="644"/>
      <c r="H100" s="688"/>
    </row>
    <row r="101" spans="1:8" ht="13.5" thickBot="1" x14ac:dyDescent="0.25">
      <c r="A101" s="689"/>
      <c r="B101" s="690"/>
      <c r="C101" s="690"/>
      <c r="D101" s="690"/>
      <c r="E101" s="690"/>
      <c r="F101" s="690"/>
      <c r="G101" s="690"/>
      <c r="H101" s="691"/>
    </row>
    <row r="102" spans="1:8" x14ac:dyDescent="0.2">
      <c r="A102" s="108" t="s">
        <v>164</v>
      </c>
      <c r="B102" s="109" t="s">
        <v>165</v>
      </c>
      <c r="C102" s="311" t="s">
        <v>414</v>
      </c>
      <c r="D102" s="110"/>
      <c r="E102" s="110"/>
      <c r="F102" s="110"/>
      <c r="G102" s="110"/>
      <c r="H102" s="111"/>
    </row>
    <row r="103" spans="1:8" ht="13.5" thickBot="1" x14ac:dyDescent="0.25">
      <c r="A103" s="112" t="s">
        <v>166</v>
      </c>
      <c r="B103" s="113" t="s">
        <v>167</v>
      </c>
      <c r="C103" s="113"/>
      <c r="D103" s="114"/>
      <c r="E103" s="114"/>
      <c r="F103" s="114"/>
      <c r="G103" s="114"/>
      <c r="H103" s="115" t="s">
        <v>168</v>
      </c>
    </row>
    <row r="104" spans="1:8" ht="13.5" thickBot="1" x14ac:dyDescent="0.25">
      <c r="A104" s="692" t="s">
        <v>169</v>
      </c>
      <c r="B104" s="693" t="s">
        <v>122</v>
      </c>
      <c r="C104" s="693" t="s">
        <v>170</v>
      </c>
      <c r="D104" s="693" t="s">
        <v>171</v>
      </c>
      <c r="E104" s="693" t="s">
        <v>172</v>
      </c>
      <c r="F104" s="693" t="s">
        <v>173</v>
      </c>
      <c r="G104" s="693" t="s">
        <v>174</v>
      </c>
      <c r="H104" s="694" t="s">
        <v>115</v>
      </c>
    </row>
    <row r="105" spans="1:8" ht="13.5" thickBot="1" x14ac:dyDescent="0.25">
      <c r="A105" s="692"/>
      <c r="B105" s="693"/>
      <c r="C105" s="693"/>
      <c r="D105" s="693"/>
      <c r="E105" s="693"/>
      <c r="F105" s="693"/>
      <c r="G105" s="693"/>
      <c r="H105" s="694"/>
    </row>
    <row r="106" spans="1:8" x14ac:dyDescent="0.2">
      <c r="A106" s="116"/>
      <c r="B106" s="117"/>
      <c r="C106" s="118"/>
      <c r="D106" s="119"/>
      <c r="E106" s="120"/>
      <c r="F106" s="121"/>
      <c r="G106" s="121"/>
      <c r="H106" s="121"/>
    </row>
    <row r="107" spans="1:8" ht="22.5" x14ac:dyDescent="0.2">
      <c r="A107" s="116">
        <f>A82</f>
        <v>0</v>
      </c>
      <c r="B107" s="117">
        <v>38135</v>
      </c>
      <c r="C107" s="118" t="s">
        <v>319</v>
      </c>
      <c r="D107" s="119" t="s">
        <v>12</v>
      </c>
      <c r="E107" s="120">
        <f>3*0.7*0.5</f>
        <v>1.0499999999999998</v>
      </c>
      <c r="F107" s="123">
        <v>36.340000000000003</v>
      </c>
      <c r="G107" s="121">
        <f>E107*F107</f>
        <v>38.156999999999996</v>
      </c>
      <c r="H107" s="121"/>
    </row>
    <row r="108" spans="1:8" x14ac:dyDescent="0.2">
      <c r="A108" s="116">
        <f>A83</f>
        <v>0</v>
      </c>
      <c r="B108" s="117" t="s">
        <v>243</v>
      </c>
      <c r="C108" s="122" t="s">
        <v>175</v>
      </c>
      <c r="D108" s="119" t="s">
        <v>12</v>
      </c>
      <c r="E108" s="124">
        <f>(4.6*0.7)-E107</f>
        <v>2.17</v>
      </c>
      <c r="F108" s="125">
        <v>10.86</v>
      </c>
      <c r="G108" s="121">
        <f>E108*F108</f>
        <v>23.566199999999998</v>
      </c>
      <c r="H108" s="121"/>
    </row>
    <row r="109" spans="1:8" x14ac:dyDescent="0.2">
      <c r="A109" s="122"/>
      <c r="B109" s="122"/>
      <c r="C109" s="122"/>
      <c r="D109" s="119"/>
      <c r="E109" s="126"/>
      <c r="F109" s="121"/>
      <c r="G109" s="121"/>
      <c r="H109" s="121">
        <f>G108+G107+G106</f>
        <v>61.723199999999991</v>
      </c>
    </row>
    <row r="110" spans="1:8" x14ac:dyDescent="0.2">
      <c r="A110" s="122"/>
      <c r="B110" s="122"/>
      <c r="C110" s="122"/>
      <c r="D110" s="122"/>
      <c r="E110" s="121"/>
      <c r="F110" s="121"/>
      <c r="G110" s="121"/>
      <c r="H110" s="121"/>
    </row>
    <row r="111" spans="1:8" x14ac:dyDescent="0.2">
      <c r="A111" s="122"/>
      <c r="B111" s="122"/>
      <c r="C111" s="122"/>
      <c r="D111" s="122"/>
      <c r="E111" s="121"/>
      <c r="F111" s="121"/>
      <c r="G111" s="121"/>
      <c r="H111" s="121"/>
    </row>
    <row r="112" spans="1:8" x14ac:dyDescent="0.2">
      <c r="A112" s="682" t="s">
        <v>176</v>
      </c>
      <c r="B112" s="682"/>
      <c r="C112" s="682"/>
      <c r="D112" s="682"/>
      <c r="E112" s="682"/>
      <c r="F112" s="682"/>
      <c r="G112" s="682"/>
      <c r="H112" s="127">
        <f>SUM(H106:H111)</f>
        <v>61.723199999999991</v>
      </c>
    </row>
    <row r="113" spans="1:8" x14ac:dyDescent="0.2">
      <c r="A113" s="683"/>
      <c r="B113" s="683"/>
      <c r="C113" s="683"/>
      <c r="D113" s="683"/>
      <c r="E113" s="683"/>
      <c r="F113" s="683"/>
      <c r="G113" s="683"/>
      <c r="H113" s="127"/>
    </row>
    <row r="114" spans="1:8" x14ac:dyDescent="0.2">
      <c r="A114" s="683" t="s">
        <v>177</v>
      </c>
      <c r="B114" s="683"/>
      <c r="C114" s="683"/>
      <c r="D114" s="683"/>
      <c r="E114" s="683"/>
      <c r="F114" s="683"/>
      <c r="G114" s="683"/>
      <c r="H114" s="128">
        <f>SUM(H112+H113)</f>
        <v>61.723199999999991</v>
      </c>
    </row>
    <row r="116" spans="1:8" x14ac:dyDescent="0.2">
      <c r="C116" s="81"/>
    </row>
    <row r="117" spans="1:8" x14ac:dyDescent="0.2">
      <c r="C117" t="s">
        <v>228</v>
      </c>
    </row>
    <row r="118" spans="1:8" x14ac:dyDescent="0.2">
      <c r="C118" s="1" t="s">
        <v>406</v>
      </c>
    </row>
    <row r="119" spans="1:8" x14ac:dyDescent="0.2">
      <c r="C119" s="81" t="s">
        <v>392</v>
      </c>
    </row>
    <row r="120" spans="1:8" ht="13.5" thickBot="1" x14ac:dyDescent="0.25"/>
    <row r="121" spans="1:8" x14ac:dyDescent="0.2">
      <c r="A121" s="684" t="s">
        <v>415</v>
      </c>
      <c r="B121" s="685"/>
      <c r="C121" s="685"/>
      <c r="D121" s="685"/>
      <c r="E121" s="685"/>
      <c r="F121" s="685"/>
      <c r="G121" s="685"/>
      <c r="H121" s="686"/>
    </row>
    <row r="122" spans="1:8" x14ac:dyDescent="0.2">
      <c r="A122" s="687"/>
      <c r="B122" s="644"/>
      <c r="C122" s="644"/>
      <c r="D122" s="644"/>
      <c r="E122" s="644"/>
      <c r="F122" s="644"/>
      <c r="G122" s="644"/>
      <c r="H122" s="688"/>
    </row>
    <row r="123" spans="1:8" ht="13.5" thickBot="1" x14ac:dyDescent="0.25">
      <c r="A123" s="689"/>
      <c r="B123" s="690"/>
      <c r="C123" s="690"/>
      <c r="D123" s="690"/>
      <c r="E123" s="690"/>
      <c r="F123" s="690"/>
      <c r="G123" s="690"/>
      <c r="H123" s="691"/>
    </row>
    <row r="124" spans="1:8" x14ac:dyDescent="0.2">
      <c r="A124" s="108" t="s">
        <v>164</v>
      </c>
      <c r="B124" s="109" t="s">
        <v>165</v>
      </c>
      <c r="C124" s="311" t="s">
        <v>416</v>
      </c>
      <c r="D124" s="110"/>
      <c r="E124" s="110"/>
      <c r="F124" s="110"/>
      <c r="G124" s="110"/>
      <c r="H124" s="111"/>
    </row>
    <row r="125" spans="1:8" ht="13.5" thickBot="1" x14ac:dyDescent="0.25">
      <c r="A125" s="112" t="s">
        <v>166</v>
      </c>
      <c r="B125" s="113" t="s">
        <v>167</v>
      </c>
      <c r="C125" s="113"/>
      <c r="D125" s="114"/>
      <c r="E125" s="114"/>
      <c r="F125" s="114"/>
      <c r="G125" s="114"/>
      <c r="H125" s="115" t="s">
        <v>168</v>
      </c>
    </row>
    <row r="126" spans="1:8" ht="13.5" thickBot="1" x14ac:dyDescent="0.25">
      <c r="A126" s="692" t="s">
        <v>169</v>
      </c>
      <c r="B126" s="693" t="s">
        <v>122</v>
      </c>
      <c r="C126" s="693" t="s">
        <v>170</v>
      </c>
      <c r="D126" s="693" t="s">
        <v>171</v>
      </c>
      <c r="E126" s="693" t="s">
        <v>172</v>
      </c>
      <c r="F126" s="693" t="s">
        <v>173</v>
      </c>
      <c r="G126" s="693" t="s">
        <v>174</v>
      </c>
      <c r="H126" s="694" t="s">
        <v>115</v>
      </c>
    </row>
    <row r="127" spans="1:8" ht="13.5" thickBot="1" x14ac:dyDescent="0.25">
      <c r="A127" s="692"/>
      <c r="B127" s="693"/>
      <c r="C127" s="693"/>
      <c r="D127" s="693"/>
      <c r="E127" s="693"/>
      <c r="F127" s="693"/>
      <c r="G127" s="693"/>
      <c r="H127" s="694"/>
    </row>
    <row r="128" spans="1:8" x14ac:dyDescent="0.2">
      <c r="A128" s="116"/>
      <c r="B128" s="117"/>
      <c r="C128" s="118"/>
      <c r="D128" s="119"/>
      <c r="E128" s="120"/>
      <c r="F128" s="121"/>
      <c r="G128" s="121"/>
      <c r="H128" s="121"/>
    </row>
    <row r="129" spans="1:8" ht="22.5" x14ac:dyDescent="0.2">
      <c r="A129" s="116" t="str">
        <f>A104</f>
        <v>Referência</v>
      </c>
      <c r="B129" s="117">
        <v>38135</v>
      </c>
      <c r="C129" s="118" t="s">
        <v>319</v>
      </c>
      <c r="D129" s="119" t="s">
        <v>12</v>
      </c>
      <c r="E129" s="120">
        <f>3*1.55*0.5</f>
        <v>2.3250000000000002</v>
      </c>
      <c r="F129" s="123">
        <v>36.340000000000003</v>
      </c>
      <c r="G129" s="121">
        <f>E129*F129</f>
        <v>84.490500000000011</v>
      </c>
      <c r="H129" s="121"/>
    </row>
    <row r="130" spans="1:8" x14ac:dyDescent="0.2">
      <c r="A130" s="116">
        <f>A105</f>
        <v>0</v>
      </c>
      <c r="B130" s="117" t="s">
        <v>243</v>
      </c>
      <c r="C130" s="122" t="s">
        <v>175</v>
      </c>
      <c r="D130" s="119" t="s">
        <v>12</v>
      </c>
      <c r="E130" s="124">
        <f>(4.6*1.55)-E129</f>
        <v>4.8049999999999997</v>
      </c>
      <c r="F130" s="125">
        <v>10.86</v>
      </c>
      <c r="G130" s="121">
        <f>E130*F130</f>
        <v>52.182299999999991</v>
      </c>
      <c r="H130" s="121"/>
    </row>
    <row r="131" spans="1:8" x14ac:dyDescent="0.2">
      <c r="A131" s="122"/>
      <c r="B131" s="122"/>
      <c r="C131" s="122"/>
      <c r="D131" s="119"/>
      <c r="E131" s="126"/>
      <c r="F131" s="121"/>
      <c r="G131" s="121"/>
      <c r="H131" s="121">
        <f>G130+G129+G128</f>
        <v>136.6728</v>
      </c>
    </row>
    <row r="132" spans="1:8" x14ac:dyDescent="0.2">
      <c r="A132" s="122"/>
      <c r="B132" s="122"/>
      <c r="C132" s="122"/>
      <c r="D132" s="122"/>
      <c r="E132" s="121"/>
      <c r="F132" s="121"/>
      <c r="G132" s="121"/>
      <c r="H132" s="121"/>
    </row>
    <row r="133" spans="1:8" x14ac:dyDescent="0.2">
      <c r="A133" s="122"/>
      <c r="B133" s="122"/>
      <c r="C133" s="122"/>
      <c r="D133" s="122"/>
      <c r="E133" s="121"/>
      <c r="F133" s="121"/>
      <c r="G133" s="121"/>
      <c r="H133" s="121"/>
    </row>
    <row r="134" spans="1:8" x14ac:dyDescent="0.2">
      <c r="A134" s="682" t="s">
        <v>176</v>
      </c>
      <c r="B134" s="682"/>
      <c r="C134" s="682"/>
      <c r="D134" s="682"/>
      <c r="E134" s="682"/>
      <c r="F134" s="682"/>
      <c r="G134" s="682"/>
      <c r="H134" s="127">
        <f>SUM(H128:H133)</f>
        <v>136.6728</v>
      </c>
    </row>
    <row r="135" spans="1:8" x14ac:dyDescent="0.2">
      <c r="A135" s="683"/>
      <c r="B135" s="683"/>
      <c r="C135" s="683"/>
      <c r="D135" s="683"/>
      <c r="E135" s="683"/>
      <c r="F135" s="683"/>
      <c r="G135" s="683"/>
      <c r="H135" s="127"/>
    </row>
    <row r="136" spans="1:8" x14ac:dyDescent="0.2">
      <c r="A136" s="683" t="s">
        <v>177</v>
      </c>
      <c r="B136" s="683"/>
      <c r="C136" s="683"/>
      <c r="D136" s="683"/>
      <c r="E136" s="683"/>
      <c r="F136" s="683"/>
      <c r="G136" s="683"/>
      <c r="H136" s="128">
        <f>SUM(H134+H135)</f>
        <v>136.6728</v>
      </c>
    </row>
    <row r="138" spans="1:8" x14ac:dyDescent="0.2">
      <c r="C138" s="81"/>
    </row>
    <row r="139" spans="1:8" x14ac:dyDescent="0.2">
      <c r="C139" t="s">
        <v>228</v>
      </c>
    </row>
    <row r="140" spans="1:8" x14ac:dyDescent="0.2">
      <c r="C140" s="1" t="s">
        <v>406</v>
      </c>
    </row>
    <row r="141" spans="1:8" x14ac:dyDescent="0.2">
      <c r="C141" s="81" t="s">
        <v>392</v>
      </c>
    </row>
    <row r="145" spans="1:8" ht="13.5" thickBot="1" x14ac:dyDescent="0.25"/>
    <row r="146" spans="1:8" x14ac:dyDescent="0.2">
      <c r="A146" s="684" t="s">
        <v>417</v>
      </c>
      <c r="B146" s="685"/>
      <c r="C146" s="685"/>
      <c r="D146" s="685"/>
      <c r="E146" s="685"/>
      <c r="F146" s="685"/>
      <c r="G146" s="685"/>
      <c r="H146" s="686"/>
    </row>
    <row r="147" spans="1:8" x14ac:dyDescent="0.2">
      <c r="A147" s="687"/>
      <c r="B147" s="644"/>
      <c r="C147" s="644"/>
      <c r="D147" s="644"/>
      <c r="E147" s="644"/>
      <c r="F147" s="644"/>
      <c r="G147" s="644"/>
      <c r="H147" s="688"/>
    </row>
    <row r="148" spans="1:8" ht="13.5" thickBot="1" x14ac:dyDescent="0.25">
      <c r="A148" s="689"/>
      <c r="B148" s="690"/>
      <c r="C148" s="690"/>
      <c r="D148" s="690"/>
      <c r="E148" s="690"/>
      <c r="F148" s="690"/>
      <c r="G148" s="690"/>
      <c r="H148" s="691"/>
    </row>
    <row r="149" spans="1:8" x14ac:dyDescent="0.2">
      <c r="A149" s="108" t="s">
        <v>164</v>
      </c>
      <c r="B149" s="109" t="s">
        <v>165</v>
      </c>
      <c r="C149" s="311" t="s">
        <v>418</v>
      </c>
      <c r="D149" s="110"/>
      <c r="E149" s="110"/>
      <c r="F149" s="110"/>
      <c r="G149" s="110"/>
      <c r="H149" s="111"/>
    </row>
    <row r="150" spans="1:8" ht="13.5" thickBot="1" x14ac:dyDescent="0.25">
      <c r="A150" s="112" t="s">
        <v>166</v>
      </c>
      <c r="B150" s="113" t="s">
        <v>167</v>
      </c>
      <c r="C150" s="113"/>
      <c r="D150" s="114"/>
      <c r="E150" s="114"/>
      <c r="F150" s="114"/>
      <c r="G150" s="114"/>
      <c r="H150" s="115" t="s">
        <v>168</v>
      </c>
    </row>
    <row r="151" spans="1:8" ht="13.5" thickBot="1" x14ac:dyDescent="0.25">
      <c r="A151" s="692" t="s">
        <v>169</v>
      </c>
      <c r="B151" s="693" t="s">
        <v>122</v>
      </c>
      <c r="C151" s="693" t="s">
        <v>170</v>
      </c>
      <c r="D151" s="693" t="s">
        <v>171</v>
      </c>
      <c r="E151" s="693" t="s">
        <v>172</v>
      </c>
      <c r="F151" s="693" t="s">
        <v>173</v>
      </c>
      <c r="G151" s="693" t="s">
        <v>174</v>
      </c>
      <c r="H151" s="694" t="s">
        <v>115</v>
      </c>
    </row>
    <row r="152" spans="1:8" ht="13.5" thickBot="1" x14ac:dyDescent="0.25">
      <c r="A152" s="692"/>
      <c r="B152" s="693"/>
      <c r="C152" s="693"/>
      <c r="D152" s="693"/>
      <c r="E152" s="693"/>
      <c r="F152" s="693"/>
      <c r="G152" s="693"/>
      <c r="H152" s="694"/>
    </row>
    <row r="153" spans="1:8" x14ac:dyDescent="0.2">
      <c r="A153" s="116"/>
      <c r="B153" s="117"/>
      <c r="C153" s="118"/>
      <c r="D153" s="119"/>
      <c r="E153" s="120"/>
      <c r="F153" s="121"/>
      <c r="G153" s="121"/>
      <c r="H153" s="121"/>
    </row>
    <row r="154" spans="1:8" ht="22.5" x14ac:dyDescent="0.2">
      <c r="A154" s="116" t="str">
        <f>A129</f>
        <v>Referência</v>
      </c>
      <c r="B154" s="117">
        <v>38135</v>
      </c>
      <c r="C154" s="118" t="s">
        <v>319</v>
      </c>
      <c r="D154" s="119" t="s">
        <v>12</v>
      </c>
      <c r="E154" s="120">
        <f>3*2.05*0.5</f>
        <v>3.0749999999999997</v>
      </c>
      <c r="F154" s="123">
        <v>36.340000000000003</v>
      </c>
      <c r="G154" s="121">
        <f>E154*F154</f>
        <v>111.74550000000001</v>
      </c>
      <c r="H154" s="121"/>
    </row>
    <row r="155" spans="1:8" x14ac:dyDescent="0.2">
      <c r="A155" s="116">
        <f>A130</f>
        <v>0</v>
      </c>
      <c r="B155" s="117" t="s">
        <v>243</v>
      </c>
      <c r="C155" s="122" t="s">
        <v>175</v>
      </c>
      <c r="D155" s="119" t="s">
        <v>12</v>
      </c>
      <c r="E155" s="124">
        <f>(4.6*2.05)-E154</f>
        <v>6.3549999999999986</v>
      </c>
      <c r="F155" s="125">
        <v>10.86</v>
      </c>
      <c r="G155" s="121">
        <f>E155*F155</f>
        <v>69.015299999999982</v>
      </c>
      <c r="H155" s="121"/>
    </row>
    <row r="156" spans="1:8" x14ac:dyDescent="0.2">
      <c r="A156" s="122"/>
      <c r="B156" s="122"/>
      <c r="C156" s="122"/>
      <c r="D156" s="119"/>
      <c r="E156" s="126"/>
      <c r="F156" s="121"/>
      <c r="G156" s="121"/>
      <c r="H156" s="121">
        <f>G155+G154+G153</f>
        <v>180.76079999999999</v>
      </c>
    </row>
    <row r="157" spans="1:8" x14ac:dyDescent="0.2">
      <c r="A157" s="122"/>
      <c r="B157" s="122"/>
      <c r="C157" s="122"/>
      <c r="D157" s="122"/>
      <c r="E157" s="121"/>
      <c r="F157" s="121"/>
      <c r="G157" s="121"/>
      <c r="H157" s="121"/>
    </row>
    <row r="158" spans="1:8" x14ac:dyDescent="0.2">
      <c r="A158" s="122"/>
      <c r="B158" s="122"/>
      <c r="C158" s="122"/>
      <c r="D158" s="122"/>
      <c r="E158" s="121"/>
      <c r="F158" s="121"/>
      <c r="G158" s="121"/>
      <c r="H158" s="121"/>
    </row>
    <row r="159" spans="1:8" x14ac:dyDescent="0.2">
      <c r="A159" s="682" t="s">
        <v>176</v>
      </c>
      <c r="B159" s="682"/>
      <c r="C159" s="682"/>
      <c r="D159" s="682"/>
      <c r="E159" s="682"/>
      <c r="F159" s="682"/>
      <c r="G159" s="682"/>
      <c r="H159" s="127">
        <f>SUM(H153:H158)</f>
        <v>180.76079999999999</v>
      </c>
    </row>
    <row r="160" spans="1:8" x14ac:dyDescent="0.2">
      <c r="A160" s="683"/>
      <c r="B160" s="683"/>
      <c r="C160" s="683"/>
      <c r="D160" s="683"/>
      <c r="E160" s="683"/>
      <c r="F160" s="683"/>
      <c r="G160" s="683"/>
      <c r="H160" s="127"/>
    </row>
    <row r="161" spans="1:8" x14ac:dyDescent="0.2">
      <c r="A161" s="683" t="s">
        <v>177</v>
      </c>
      <c r="B161" s="683"/>
      <c r="C161" s="683"/>
      <c r="D161" s="683"/>
      <c r="E161" s="683"/>
      <c r="F161" s="683"/>
      <c r="G161" s="683"/>
      <c r="H161" s="128">
        <f>SUM(H159+H160)</f>
        <v>180.76079999999999</v>
      </c>
    </row>
    <row r="163" spans="1:8" x14ac:dyDescent="0.2">
      <c r="C163" s="81"/>
    </row>
    <row r="164" spans="1:8" x14ac:dyDescent="0.2">
      <c r="C164" t="s">
        <v>228</v>
      </c>
    </row>
    <row r="165" spans="1:8" x14ac:dyDescent="0.2">
      <c r="C165" s="1" t="s">
        <v>406</v>
      </c>
    </row>
    <row r="166" spans="1:8" x14ac:dyDescent="0.2">
      <c r="C166" s="81" t="s">
        <v>392</v>
      </c>
    </row>
    <row r="168" spans="1:8" ht="13.5" thickBot="1" x14ac:dyDescent="0.25"/>
    <row r="169" spans="1:8" x14ac:dyDescent="0.2">
      <c r="A169" s="684" t="s">
        <v>419</v>
      </c>
      <c r="B169" s="685"/>
      <c r="C169" s="685"/>
      <c r="D169" s="685"/>
      <c r="E169" s="685"/>
      <c r="F169" s="685"/>
      <c r="G169" s="685"/>
      <c r="H169" s="686"/>
    </row>
    <row r="170" spans="1:8" x14ac:dyDescent="0.2">
      <c r="A170" s="687"/>
      <c r="B170" s="644"/>
      <c r="C170" s="644"/>
      <c r="D170" s="644"/>
      <c r="E170" s="644"/>
      <c r="F170" s="644"/>
      <c r="G170" s="644"/>
      <c r="H170" s="688"/>
    </row>
    <row r="171" spans="1:8" ht="13.5" thickBot="1" x14ac:dyDescent="0.25">
      <c r="A171" s="689"/>
      <c r="B171" s="690"/>
      <c r="C171" s="690"/>
      <c r="D171" s="690"/>
      <c r="E171" s="690"/>
      <c r="F171" s="690"/>
      <c r="G171" s="690"/>
      <c r="H171" s="691"/>
    </row>
    <row r="172" spans="1:8" x14ac:dyDescent="0.2">
      <c r="A172" s="108" t="s">
        <v>164</v>
      </c>
      <c r="B172" s="109" t="s">
        <v>165</v>
      </c>
      <c r="C172" s="311" t="s">
        <v>420</v>
      </c>
      <c r="D172" s="110"/>
      <c r="E172" s="110"/>
      <c r="F172" s="110"/>
      <c r="G172" s="110"/>
      <c r="H172" s="111"/>
    </row>
    <row r="173" spans="1:8" ht="13.5" thickBot="1" x14ac:dyDescent="0.25">
      <c r="A173" s="112" t="s">
        <v>166</v>
      </c>
      <c r="B173" s="113" t="s">
        <v>167</v>
      </c>
      <c r="C173" s="113"/>
      <c r="D173" s="114"/>
      <c r="E173" s="114"/>
      <c r="F173" s="114"/>
      <c r="G173" s="114"/>
      <c r="H173" s="115" t="s">
        <v>168</v>
      </c>
    </row>
    <row r="174" spans="1:8" ht="13.5" thickBot="1" x14ac:dyDescent="0.25">
      <c r="A174" s="692" t="s">
        <v>169</v>
      </c>
      <c r="B174" s="693" t="s">
        <v>122</v>
      </c>
      <c r="C174" s="693" t="s">
        <v>170</v>
      </c>
      <c r="D174" s="693" t="s">
        <v>171</v>
      </c>
      <c r="E174" s="693" t="s">
        <v>172</v>
      </c>
      <c r="F174" s="693" t="s">
        <v>173</v>
      </c>
      <c r="G174" s="693" t="s">
        <v>174</v>
      </c>
      <c r="H174" s="694" t="s">
        <v>115</v>
      </c>
    </row>
    <row r="175" spans="1:8" ht="13.5" thickBot="1" x14ac:dyDescent="0.25">
      <c r="A175" s="692"/>
      <c r="B175" s="693"/>
      <c r="C175" s="693"/>
      <c r="D175" s="693"/>
      <c r="E175" s="693"/>
      <c r="F175" s="693"/>
      <c r="G175" s="693"/>
      <c r="H175" s="694"/>
    </row>
    <row r="176" spans="1:8" x14ac:dyDescent="0.2">
      <c r="A176" s="116"/>
      <c r="B176" s="117"/>
      <c r="C176" s="118"/>
      <c r="D176" s="119"/>
      <c r="E176" s="120"/>
      <c r="F176" s="121"/>
      <c r="G176" s="121"/>
      <c r="H176" s="121"/>
    </row>
    <row r="177" spans="1:8" ht="22.5" x14ac:dyDescent="0.2">
      <c r="A177" s="116">
        <f>A152</f>
        <v>0</v>
      </c>
      <c r="B177" s="117">
        <v>38135</v>
      </c>
      <c r="C177" s="118" t="s">
        <v>319</v>
      </c>
      <c r="D177" s="119" t="s">
        <v>12</v>
      </c>
      <c r="E177" s="120">
        <f>3*1.21*0.5</f>
        <v>1.8149999999999999</v>
      </c>
      <c r="F177" s="123">
        <v>36.340000000000003</v>
      </c>
      <c r="G177" s="121">
        <f>E177*F177</f>
        <v>65.957100000000011</v>
      </c>
      <c r="H177" s="121"/>
    </row>
    <row r="178" spans="1:8" x14ac:dyDescent="0.2">
      <c r="A178" s="116">
        <f>A153</f>
        <v>0</v>
      </c>
      <c r="B178" s="117" t="s">
        <v>243</v>
      </c>
      <c r="C178" s="122" t="s">
        <v>175</v>
      </c>
      <c r="D178" s="119" t="s">
        <v>12</v>
      </c>
      <c r="E178" s="124">
        <f>(4.6*1.21)-E177</f>
        <v>3.7509999999999999</v>
      </c>
      <c r="F178" s="125">
        <v>10.86</v>
      </c>
      <c r="G178" s="121">
        <f>E178*F178</f>
        <v>40.735859999999995</v>
      </c>
      <c r="H178" s="121"/>
    </row>
    <row r="179" spans="1:8" x14ac:dyDescent="0.2">
      <c r="A179" s="122"/>
      <c r="B179" s="122"/>
      <c r="C179" s="122"/>
      <c r="D179" s="119"/>
      <c r="E179" s="126"/>
      <c r="F179" s="121"/>
      <c r="G179" s="121"/>
      <c r="H179" s="121">
        <f>G178+G177+G176</f>
        <v>106.69296</v>
      </c>
    </row>
    <row r="180" spans="1:8" x14ac:dyDescent="0.2">
      <c r="A180" s="122"/>
      <c r="B180" s="122"/>
      <c r="C180" s="122"/>
      <c r="D180" s="122"/>
      <c r="E180" s="121"/>
      <c r="F180" s="121"/>
      <c r="G180" s="121"/>
      <c r="H180" s="121"/>
    </row>
    <row r="181" spans="1:8" x14ac:dyDescent="0.2">
      <c r="A181" s="122"/>
      <c r="B181" s="122"/>
      <c r="C181" s="122"/>
      <c r="D181" s="122"/>
      <c r="E181" s="121"/>
      <c r="F181" s="121"/>
      <c r="G181" s="121"/>
      <c r="H181" s="121"/>
    </row>
    <row r="182" spans="1:8" x14ac:dyDescent="0.2">
      <c r="A182" s="682" t="s">
        <v>176</v>
      </c>
      <c r="B182" s="682"/>
      <c r="C182" s="682"/>
      <c r="D182" s="682"/>
      <c r="E182" s="682"/>
      <c r="F182" s="682"/>
      <c r="G182" s="682"/>
      <c r="H182" s="127">
        <f>SUM(H176:H181)</f>
        <v>106.69296</v>
      </c>
    </row>
    <row r="183" spans="1:8" x14ac:dyDescent="0.2">
      <c r="A183" s="683"/>
      <c r="B183" s="683"/>
      <c r="C183" s="683"/>
      <c r="D183" s="683"/>
      <c r="E183" s="683"/>
      <c r="F183" s="683"/>
      <c r="G183" s="683"/>
      <c r="H183" s="127"/>
    </row>
    <row r="184" spans="1:8" x14ac:dyDescent="0.2">
      <c r="A184" s="683" t="s">
        <v>177</v>
      </c>
      <c r="B184" s="683"/>
      <c r="C184" s="683"/>
      <c r="D184" s="683"/>
      <c r="E184" s="683"/>
      <c r="F184" s="683"/>
      <c r="G184" s="683"/>
      <c r="H184" s="128">
        <f>SUM(H182+H183)</f>
        <v>106.69296</v>
      </c>
    </row>
    <row r="186" spans="1:8" x14ac:dyDescent="0.2">
      <c r="C186" s="81"/>
    </row>
    <row r="187" spans="1:8" x14ac:dyDescent="0.2">
      <c r="C187" t="s">
        <v>228</v>
      </c>
    </row>
    <row r="188" spans="1:8" x14ac:dyDescent="0.2">
      <c r="C188" s="1" t="s">
        <v>406</v>
      </c>
    </row>
    <row r="189" spans="1:8" x14ac:dyDescent="0.2">
      <c r="C189" s="81" t="s">
        <v>392</v>
      </c>
    </row>
    <row r="191" spans="1:8" ht="13.5" thickBot="1" x14ac:dyDescent="0.25"/>
    <row r="192" spans="1:8" x14ac:dyDescent="0.2">
      <c r="A192" s="684" t="s">
        <v>421</v>
      </c>
      <c r="B192" s="685"/>
      <c r="C192" s="685"/>
      <c r="D192" s="685"/>
      <c r="E192" s="685"/>
      <c r="F192" s="685"/>
      <c r="G192" s="685"/>
      <c r="H192" s="686"/>
    </row>
    <row r="193" spans="1:8" x14ac:dyDescent="0.2">
      <c r="A193" s="687"/>
      <c r="B193" s="644"/>
      <c r="C193" s="644"/>
      <c r="D193" s="644"/>
      <c r="E193" s="644"/>
      <c r="F193" s="644"/>
      <c r="G193" s="644"/>
      <c r="H193" s="688"/>
    </row>
    <row r="194" spans="1:8" ht="13.5" thickBot="1" x14ac:dyDescent="0.25">
      <c r="A194" s="689"/>
      <c r="B194" s="690"/>
      <c r="C194" s="690"/>
      <c r="D194" s="690"/>
      <c r="E194" s="690"/>
      <c r="F194" s="690"/>
      <c r="G194" s="690"/>
      <c r="H194" s="691"/>
    </row>
    <row r="195" spans="1:8" x14ac:dyDescent="0.2">
      <c r="A195" s="108" t="s">
        <v>164</v>
      </c>
      <c r="B195" s="109" t="s">
        <v>165</v>
      </c>
      <c r="C195" s="311" t="s">
        <v>422</v>
      </c>
      <c r="D195" s="110"/>
      <c r="E195" s="110"/>
      <c r="F195" s="110"/>
      <c r="G195" s="110"/>
      <c r="H195" s="111"/>
    </row>
    <row r="196" spans="1:8" ht="13.5" thickBot="1" x14ac:dyDescent="0.25">
      <c r="A196" s="112" t="s">
        <v>166</v>
      </c>
      <c r="B196" s="113" t="s">
        <v>167</v>
      </c>
      <c r="C196" s="113"/>
      <c r="D196" s="114"/>
      <c r="E196" s="114"/>
      <c r="F196" s="114"/>
      <c r="G196" s="114"/>
      <c r="H196" s="115" t="s">
        <v>168</v>
      </c>
    </row>
    <row r="197" spans="1:8" ht="13.5" thickBot="1" x14ac:dyDescent="0.25">
      <c r="A197" s="692" t="s">
        <v>169</v>
      </c>
      <c r="B197" s="693" t="s">
        <v>122</v>
      </c>
      <c r="C197" s="693" t="s">
        <v>170</v>
      </c>
      <c r="D197" s="693" t="s">
        <v>171</v>
      </c>
      <c r="E197" s="693" t="s">
        <v>172</v>
      </c>
      <c r="F197" s="693" t="s">
        <v>173</v>
      </c>
      <c r="G197" s="693" t="s">
        <v>174</v>
      </c>
      <c r="H197" s="694" t="s">
        <v>115</v>
      </c>
    </row>
    <row r="198" spans="1:8" ht="13.5" thickBot="1" x14ac:dyDescent="0.25">
      <c r="A198" s="692"/>
      <c r="B198" s="693"/>
      <c r="C198" s="693"/>
      <c r="D198" s="693"/>
      <c r="E198" s="693"/>
      <c r="F198" s="693"/>
      <c r="G198" s="693"/>
      <c r="H198" s="694"/>
    </row>
    <row r="199" spans="1:8" x14ac:dyDescent="0.2">
      <c r="A199" s="116"/>
      <c r="B199" s="117"/>
      <c r="C199" s="118"/>
      <c r="D199" s="119"/>
      <c r="E199" s="120"/>
      <c r="F199" s="121"/>
      <c r="G199" s="121"/>
      <c r="H199" s="121"/>
    </row>
    <row r="200" spans="1:8" ht="22.5" x14ac:dyDescent="0.2">
      <c r="A200" s="116">
        <f>A175</f>
        <v>0</v>
      </c>
      <c r="B200" s="117">
        <v>38135</v>
      </c>
      <c r="C200" s="118" t="s">
        <v>319</v>
      </c>
      <c r="D200" s="119" t="s">
        <v>12</v>
      </c>
      <c r="E200" s="120">
        <f>3*0.79*0.5</f>
        <v>1.1850000000000001</v>
      </c>
      <c r="F200" s="123">
        <v>36.340000000000003</v>
      </c>
      <c r="G200" s="121">
        <f>E200*F200</f>
        <v>43.062900000000006</v>
      </c>
      <c r="H200" s="121"/>
    </row>
    <row r="201" spans="1:8" x14ac:dyDescent="0.2">
      <c r="A201" s="116">
        <f>A176</f>
        <v>0</v>
      </c>
      <c r="B201" s="117" t="s">
        <v>243</v>
      </c>
      <c r="C201" s="122" t="s">
        <v>175</v>
      </c>
      <c r="D201" s="119" t="s">
        <v>12</v>
      </c>
      <c r="E201" s="124">
        <f>(4.6*0.79)-E200</f>
        <v>2.4489999999999998</v>
      </c>
      <c r="F201" s="125">
        <v>10.86</v>
      </c>
      <c r="G201" s="121">
        <f>E201*F201</f>
        <v>26.596139999999998</v>
      </c>
      <c r="H201" s="121"/>
    </row>
    <row r="202" spans="1:8" x14ac:dyDescent="0.2">
      <c r="A202" s="122"/>
      <c r="B202" s="122"/>
      <c r="C202" s="122"/>
      <c r="D202" s="119"/>
      <c r="E202" s="126"/>
      <c r="F202" s="121"/>
      <c r="G202" s="121"/>
      <c r="H202" s="121">
        <f>G201+G200+G199</f>
        <v>69.659040000000005</v>
      </c>
    </row>
    <row r="203" spans="1:8" x14ac:dyDescent="0.2">
      <c r="A203" s="122"/>
      <c r="B203" s="122"/>
      <c r="C203" s="122"/>
      <c r="D203" s="122"/>
      <c r="E203" s="121"/>
      <c r="F203" s="121"/>
      <c r="G203" s="121"/>
      <c r="H203" s="121"/>
    </row>
    <row r="204" spans="1:8" x14ac:dyDescent="0.2">
      <c r="A204" s="122"/>
      <c r="B204" s="122"/>
      <c r="C204" s="122"/>
      <c r="D204" s="122"/>
      <c r="E204" s="121"/>
      <c r="F204" s="121"/>
      <c r="G204" s="121"/>
      <c r="H204" s="121"/>
    </row>
    <row r="205" spans="1:8" x14ac:dyDescent="0.2">
      <c r="A205" s="682" t="s">
        <v>176</v>
      </c>
      <c r="B205" s="682"/>
      <c r="C205" s="682"/>
      <c r="D205" s="682"/>
      <c r="E205" s="682"/>
      <c r="F205" s="682"/>
      <c r="G205" s="682"/>
      <c r="H205" s="127">
        <f>SUM(H199:H204)</f>
        <v>69.659040000000005</v>
      </c>
    </row>
    <row r="206" spans="1:8" x14ac:dyDescent="0.2">
      <c r="A206" s="683"/>
      <c r="B206" s="683"/>
      <c r="C206" s="683"/>
      <c r="D206" s="683"/>
      <c r="E206" s="683"/>
      <c r="F206" s="683"/>
      <c r="G206" s="683"/>
      <c r="H206" s="127"/>
    </row>
    <row r="207" spans="1:8" x14ac:dyDescent="0.2">
      <c r="A207" s="683" t="s">
        <v>177</v>
      </c>
      <c r="B207" s="683"/>
      <c r="C207" s="683"/>
      <c r="D207" s="683"/>
      <c r="E207" s="683"/>
      <c r="F207" s="683"/>
      <c r="G207" s="683"/>
      <c r="H207" s="128">
        <f>SUM(H205+H206)</f>
        <v>69.659040000000005</v>
      </c>
    </row>
    <row r="209" spans="3:3" x14ac:dyDescent="0.2">
      <c r="C209" s="81"/>
    </row>
    <row r="210" spans="3:3" x14ac:dyDescent="0.2">
      <c r="C210" t="s">
        <v>228</v>
      </c>
    </row>
    <row r="211" spans="3:3" x14ac:dyDescent="0.2">
      <c r="C211" s="1" t="s">
        <v>406</v>
      </c>
    </row>
    <row r="212" spans="3:3" x14ac:dyDescent="0.2">
      <c r="C212" s="81" t="s">
        <v>392</v>
      </c>
    </row>
  </sheetData>
  <mergeCells count="108">
    <mergeCell ref="A159:G159"/>
    <mergeCell ref="A160:G160"/>
    <mergeCell ref="A161:G161"/>
    <mergeCell ref="A134:G134"/>
    <mergeCell ref="A135:G135"/>
    <mergeCell ref="A136:G136"/>
    <mergeCell ref="A146:H148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A112:G112"/>
    <mergeCell ref="A113:G113"/>
    <mergeCell ref="A114:G114"/>
    <mergeCell ref="A121:H123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87:G87"/>
    <mergeCell ref="A88:G88"/>
    <mergeCell ref="A89:G89"/>
    <mergeCell ref="A99:H101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64:G64"/>
    <mergeCell ref="A65:G65"/>
    <mergeCell ref="A66:G66"/>
    <mergeCell ref="A74:H76"/>
    <mergeCell ref="A79:A80"/>
    <mergeCell ref="B79:B80"/>
    <mergeCell ref="C79:C80"/>
    <mergeCell ref="D79:D80"/>
    <mergeCell ref="E79:E80"/>
    <mergeCell ref="F79:F80"/>
    <mergeCell ref="G79:G80"/>
    <mergeCell ref="H79:H80"/>
    <mergeCell ref="A51:H53"/>
    <mergeCell ref="A56:A57"/>
    <mergeCell ref="B56:B57"/>
    <mergeCell ref="C56:C57"/>
    <mergeCell ref="D56:D57"/>
    <mergeCell ref="E56:E57"/>
    <mergeCell ref="F56:F57"/>
    <mergeCell ref="G56:G57"/>
    <mergeCell ref="H56:H57"/>
    <mergeCell ref="A40:G40"/>
    <mergeCell ref="A41:G41"/>
    <mergeCell ref="A42:G42"/>
    <mergeCell ref="A15:G15"/>
    <mergeCell ref="A16:G16"/>
    <mergeCell ref="A17:G17"/>
    <mergeCell ref="A27:H29"/>
    <mergeCell ref="A32:A33"/>
    <mergeCell ref="B32:B33"/>
    <mergeCell ref="C32:C33"/>
    <mergeCell ref="D32:D33"/>
    <mergeCell ref="E32:E33"/>
    <mergeCell ref="F32:F33"/>
    <mergeCell ref="G32:G33"/>
    <mergeCell ref="H32:H33"/>
    <mergeCell ref="A2:H4"/>
    <mergeCell ref="A7:A8"/>
    <mergeCell ref="B7:B8"/>
    <mergeCell ref="C7:C8"/>
    <mergeCell ref="D7:D8"/>
    <mergeCell ref="E7:E8"/>
    <mergeCell ref="F7:F8"/>
    <mergeCell ref="G7:G8"/>
    <mergeCell ref="H7:H8"/>
    <mergeCell ref="A169:H171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205:G205"/>
    <mergeCell ref="A206:G206"/>
    <mergeCell ref="A207:G207"/>
    <mergeCell ref="A182:G182"/>
    <mergeCell ref="A183:G183"/>
    <mergeCell ref="A184:G184"/>
    <mergeCell ref="A192:H194"/>
    <mergeCell ref="A197:A198"/>
    <mergeCell ref="B197:B198"/>
    <mergeCell ref="C197:C198"/>
    <mergeCell ref="D197:D198"/>
    <mergeCell ref="E197:E198"/>
    <mergeCell ref="F197:F198"/>
    <mergeCell ref="G197:G198"/>
    <mergeCell ref="H197:H198"/>
  </mergeCells>
  <pageMargins left="0.51181102362204722" right="0.51181102362204722" top="0.78740157480314965" bottom="0.78740157480314965" header="0.31496062992125984" footer="0.31496062992125984"/>
  <pageSetup scale="80" orientation="landscape" horizontalDpi="4294967293" verticalDpi="4294967293" r:id="rId1"/>
  <rowBreaks count="1" manualBreakCount="1">
    <brk id="1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L341"/>
  <sheetViews>
    <sheetView view="pageBreakPreview" topLeftCell="C235" zoomScale="80" zoomScaleSheetLayoutView="80" workbookViewId="0">
      <selection activeCell="I240" sqref="I240"/>
    </sheetView>
  </sheetViews>
  <sheetFormatPr defaultRowHeight="12.75" x14ac:dyDescent="0.2"/>
  <cols>
    <col min="1" max="1" width="12.28515625" customWidth="1"/>
    <col min="2" max="2" width="64.7109375" customWidth="1"/>
    <col min="3" max="3" width="43.85546875" customWidth="1"/>
    <col min="4" max="4" width="26.85546875" customWidth="1"/>
    <col min="5" max="5" width="27.42578125" customWidth="1"/>
    <col min="6" max="6" width="31.5703125" customWidth="1"/>
    <col min="7" max="7" width="27.140625" customWidth="1"/>
    <col min="8" max="8" width="28.42578125" customWidth="1"/>
    <col min="9" max="9" width="24.5703125" customWidth="1"/>
    <col min="10" max="10" width="24" customWidth="1"/>
    <col min="11" max="11" width="21.5703125" customWidth="1"/>
    <col min="12" max="12" width="9.140625" hidden="1" customWidth="1"/>
    <col min="13" max="13" width="12.42578125" customWidth="1"/>
  </cols>
  <sheetData>
    <row r="1" spans="2:11" ht="18" x14ac:dyDescent="0.25">
      <c r="B1" s="468" t="s">
        <v>83</v>
      </c>
      <c r="C1" s="468"/>
      <c r="D1" s="468"/>
      <c r="E1" s="468"/>
      <c r="F1" s="468"/>
      <c r="G1" s="468"/>
      <c r="H1" s="468"/>
      <c r="I1" s="468"/>
    </row>
    <row r="2" spans="2:11" ht="18" x14ac:dyDescent="0.25">
      <c r="B2" s="469" t="s">
        <v>308</v>
      </c>
      <c r="C2" s="469"/>
      <c r="D2" s="469"/>
      <c r="E2" s="469"/>
      <c r="F2" s="469"/>
      <c r="G2" s="469"/>
      <c r="H2" s="469"/>
      <c r="I2" s="469"/>
    </row>
    <row r="3" spans="2:11" ht="18" x14ac:dyDescent="0.25">
      <c r="B3" s="469" t="s">
        <v>309</v>
      </c>
      <c r="C3" s="469"/>
      <c r="D3" s="469"/>
      <c r="E3" s="469"/>
      <c r="F3" s="469"/>
      <c r="G3" s="469"/>
      <c r="H3" s="469"/>
      <c r="I3" s="469"/>
    </row>
    <row r="4" spans="2:11" ht="18" x14ac:dyDescent="0.25">
      <c r="B4" s="469" t="s">
        <v>154</v>
      </c>
      <c r="C4" s="469"/>
      <c r="D4" s="469"/>
      <c r="E4" s="469"/>
      <c r="F4" s="469"/>
      <c r="G4" s="469"/>
      <c r="H4" s="469"/>
      <c r="I4" s="469"/>
    </row>
    <row r="5" spans="2:11" ht="15.75" x14ac:dyDescent="0.25">
      <c r="B5" s="472" t="s">
        <v>153</v>
      </c>
      <c r="C5" s="472"/>
      <c r="D5" s="472"/>
      <c r="E5" s="80">
        <f>E25</f>
        <v>6076.3499999999995</v>
      </c>
      <c r="F5" s="71" t="s">
        <v>155</v>
      </c>
      <c r="G5" s="71"/>
      <c r="H5" s="71"/>
      <c r="I5" s="72"/>
    </row>
    <row r="6" spans="2:11" ht="15.75" x14ac:dyDescent="0.25">
      <c r="B6" s="73"/>
      <c r="C6" s="74"/>
      <c r="D6" s="71"/>
      <c r="E6" s="71"/>
      <c r="F6" s="71"/>
      <c r="G6" s="82"/>
      <c r="H6" s="82"/>
      <c r="I6" s="2"/>
    </row>
    <row r="7" spans="2:11" ht="15.75" x14ac:dyDescent="0.25">
      <c r="B7" s="75" t="s">
        <v>84</v>
      </c>
      <c r="C7" s="76"/>
      <c r="D7" s="76"/>
      <c r="E7" s="76"/>
      <c r="F7" s="76"/>
      <c r="G7" s="76"/>
      <c r="H7" s="76"/>
      <c r="I7" s="2"/>
    </row>
    <row r="8" spans="2:11" ht="15.75" x14ac:dyDescent="0.25">
      <c r="B8" s="75"/>
      <c r="C8" s="76"/>
      <c r="D8" s="76"/>
      <c r="E8" s="76"/>
      <c r="F8" s="76"/>
      <c r="G8" s="77"/>
      <c r="H8" s="77"/>
      <c r="I8" s="2"/>
    </row>
    <row r="9" spans="2:11" ht="15.75" x14ac:dyDescent="0.25">
      <c r="B9" s="75" t="s">
        <v>85</v>
      </c>
      <c r="C9" s="76"/>
      <c r="D9" s="76"/>
      <c r="E9" s="76"/>
      <c r="F9" s="76"/>
      <c r="G9" s="76"/>
      <c r="H9" s="76"/>
      <c r="I9" s="2"/>
    </row>
    <row r="10" spans="2:11" ht="15" x14ac:dyDescent="0.2">
      <c r="B10" s="76" t="s">
        <v>86</v>
      </c>
      <c r="C10" s="76"/>
      <c r="D10" s="76"/>
      <c r="E10" s="76"/>
      <c r="F10" s="76"/>
      <c r="G10" s="76"/>
      <c r="H10" s="76"/>
      <c r="I10" s="2"/>
    </row>
    <row r="11" spans="2:11" ht="15" x14ac:dyDescent="0.2">
      <c r="B11" s="76" t="s">
        <v>87</v>
      </c>
      <c r="C11" s="77"/>
      <c r="D11" s="76"/>
      <c r="E11" s="76"/>
      <c r="F11" s="76"/>
      <c r="G11" s="76"/>
      <c r="I11" s="2"/>
    </row>
    <row r="12" spans="2:11" ht="15.75" x14ac:dyDescent="0.25">
      <c r="B12" s="76" t="s">
        <v>88</v>
      </c>
      <c r="C12" s="78">
        <v>4.5</v>
      </c>
      <c r="D12" s="76" t="s">
        <v>89</v>
      </c>
      <c r="E12" s="76"/>
      <c r="F12" s="76"/>
      <c r="G12" s="76"/>
      <c r="I12" s="2"/>
    </row>
    <row r="13" spans="2:11" ht="15.75" x14ac:dyDescent="0.25">
      <c r="B13" s="75"/>
      <c r="C13" s="76"/>
      <c r="D13" s="76"/>
      <c r="E13" s="76"/>
      <c r="F13" s="76"/>
      <c r="G13" s="76"/>
      <c r="I13" s="2"/>
    </row>
    <row r="14" spans="2:11" ht="15.75" x14ac:dyDescent="0.25">
      <c r="B14" s="306" t="s">
        <v>90</v>
      </c>
      <c r="C14" s="345"/>
      <c r="D14" s="345"/>
      <c r="E14" s="345"/>
      <c r="F14" s="345"/>
      <c r="G14" s="345"/>
      <c r="H14" s="346"/>
      <c r="I14" s="347"/>
      <c r="J14" s="346"/>
      <c r="K14" s="346"/>
    </row>
    <row r="15" spans="2:11" ht="15.75" x14ac:dyDescent="0.2">
      <c r="B15" s="330" t="s">
        <v>91</v>
      </c>
      <c r="C15" s="330" t="s">
        <v>92</v>
      </c>
      <c r="D15" s="330" t="s">
        <v>93</v>
      </c>
      <c r="E15" s="331" t="s">
        <v>157</v>
      </c>
      <c r="F15" s="470" t="s">
        <v>163</v>
      </c>
      <c r="G15" s="471"/>
      <c r="H15" s="348"/>
      <c r="I15" s="346"/>
      <c r="J15" s="346"/>
      <c r="K15" s="346"/>
    </row>
    <row r="16" spans="2:11" ht="15.75" x14ac:dyDescent="0.2">
      <c r="B16" s="321" t="s">
        <v>329</v>
      </c>
      <c r="C16" s="332">
        <v>245</v>
      </c>
      <c r="D16" s="332">
        <v>6.6</v>
      </c>
      <c r="E16" s="333">
        <f>D16*C16</f>
        <v>1617</v>
      </c>
      <c r="F16" s="470"/>
      <c r="G16" s="471"/>
      <c r="H16" s="348"/>
      <c r="I16" s="346"/>
      <c r="J16" s="346"/>
      <c r="K16" s="346"/>
    </row>
    <row r="17" spans="2:11" ht="15.75" x14ac:dyDescent="0.2">
      <c r="B17" s="321" t="s">
        <v>330</v>
      </c>
      <c r="C17" s="332">
        <v>194</v>
      </c>
      <c r="D17" s="332">
        <v>6.6</v>
      </c>
      <c r="E17" s="333">
        <f>D17*C17</f>
        <v>1280.3999999999999</v>
      </c>
      <c r="F17" s="470"/>
      <c r="G17" s="471"/>
      <c r="H17" s="348"/>
      <c r="I17" s="346"/>
      <c r="J17" s="346"/>
      <c r="K17" s="346"/>
    </row>
    <row r="18" spans="2:11" ht="15.75" x14ac:dyDescent="0.2">
      <c r="B18" s="321" t="s">
        <v>331</v>
      </c>
      <c r="C18" s="332">
        <v>50</v>
      </c>
      <c r="D18" s="332">
        <v>5.88</v>
      </c>
      <c r="E18" s="333">
        <f t="shared" ref="E18:E24" si="0">C18*D18</f>
        <v>294</v>
      </c>
      <c r="F18" s="470" t="s">
        <v>434</v>
      </c>
      <c r="G18" s="471"/>
      <c r="H18" s="326">
        <f>E18+E19+E20+E21</f>
        <v>1400.0920000000001</v>
      </c>
      <c r="I18" s="346"/>
      <c r="J18" s="346"/>
      <c r="K18" s="346"/>
    </row>
    <row r="19" spans="2:11" ht="15.75" x14ac:dyDescent="0.2">
      <c r="B19" s="321" t="s">
        <v>332</v>
      </c>
      <c r="C19" s="332">
        <v>50</v>
      </c>
      <c r="D19" s="332">
        <v>5.91</v>
      </c>
      <c r="E19" s="333">
        <f t="shared" si="0"/>
        <v>295.5</v>
      </c>
      <c r="F19" s="470" t="s">
        <v>435</v>
      </c>
      <c r="G19" s="471"/>
      <c r="H19" s="327"/>
      <c r="I19" s="346"/>
      <c r="J19" s="346"/>
      <c r="K19" s="346"/>
    </row>
    <row r="20" spans="2:11" ht="15.75" x14ac:dyDescent="0.2">
      <c r="B20" s="321" t="s">
        <v>333</v>
      </c>
      <c r="C20" s="332">
        <v>50</v>
      </c>
      <c r="D20" s="332">
        <v>5.9</v>
      </c>
      <c r="E20" s="333">
        <f t="shared" si="0"/>
        <v>295</v>
      </c>
      <c r="F20" s="470" t="s">
        <v>436</v>
      </c>
      <c r="G20" s="471"/>
      <c r="H20" s="328">
        <f>H18*0.15</f>
        <v>210.0138</v>
      </c>
      <c r="I20" s="346"/>
      <c r="J20" s="346"/>
      <c r="K20" s="346"/>
    </row>
    <row r="21" spans="2:11" ht="15.75" x14ac:dyDescent="0.2">
      <c r="B21" s="321" t="s">
        <v>334</v>
      </c>
      <c r="C21" s="332">
        <v>78.12</v>
      </c>
      <c r="D21" s="334">
        <v>6.6</v>
      </c>
      <c r="E21" s="333">
        <f t="shared" si="0"/>
        <v>515.59199999999998</v>
      </c>
      <c r="F21" s="470"/>
      <c r="G21" s="471"/>
      <c r="H21" s="328"/>
      <c r="I21" s="346"/>
      <c r="J21" s="346"/>
      <c r="K21" s="346"/>
    </row>
    <row r="22" spans="2:11" ht="15.75" x14ac:dyDescent="0.2">
      <c r="B22" s="322" t="s">
        <v>313</v>
      </c>
      <c r="C22" s="332">
        <v>142.63</v>
      </c>
      <c r="D22" s="334">
        <v>6.6</v>
      </c>
      <c r="E22" s="333">
        <f t="shared" si="0"/>
        <v>941.35799999999995</v>
      </c>
      <c r="F22" s="470"/>
      <c r="G22" s="471"/>
      <c r="H22" s="328"/>
      <c r="I22" s="346"/>
      <c r="J22" s="346"/>
      <c r="K22" s="346"/>
    </row>
    <row r="23" spans="2:11" ht="15.75" x14ac:dyDescent="0.2">
      <c r="B23" s="322" t="s">
        <v>335</v>
      </c>
      <c r="C23" s="332">
        <v>81</v>
      </c>
      <c r="D23" s="334">
        <v>5.9</v>
      </c>
      <c r="E23" s="333">
        <f t="shared" si="0"/>
        <v>477.90000000000003</v>
      </c>
      <c r="F23" s="470" t="s">
        <v>432</v>
      </c>
      <c r="G23" s="471"/>
      <c r="H23" s="328"/>
      <c r="I23" s="346"/>
      <c r="J23" s="346"/>
      <c r="K23" s="346"/>
    </row>
    <row r="24" spans="2:11" ht="15.75" x14ac:dyDescent="0.2">
      <c r="B24" s="322" t="s">
        <v>336</v>
      </c>
      <c r="C24" s="332">
        <v>58</v>
      </c>
      <c r="D24" s="334">
        <v>6.2</v>
      </c>
      <c r="E24" s="333">
        <f t="shared" si="0"/>
        <v>359.6</v>
      </c>
      <c r="F24" s="470" t="s">
        <v>433</v>
      </c>
      <c r="G24" s="471"/>
      <c r="H24" s="328">
        <f>E24+E23</f>
        <v>837.5</v>
      </c>
      <c r="I24" s="346"/>
      <c r="J24" s="346"/>
      <c r="K24" s="346"/>
    </row>
    <row r="25" spans="2:11" ht="15.75" x14ac:dyDescent="0.25">
      <c r="B25" s="335" t="s">
        <v>94</v>
      </c>
      <c r="C25" s="336">
        <f>SUM(C16:C24)</f>
        <v>948.75</v>
      </c>
      <c r="D25" s="337"/>
      <c r="E25" s="338">
        <f>SUM(E16:E24)</f>
        <v>6076.3499999999995</v>
      </c>
      <c r="F25" s="470"/>
      <c r="G25" s="471"/>
      <c r="H25" s="349"/>
      <c r="I25" s="346"/>
      <c r="J25" s="346"/>
      <c r="K25" s="346"/>
    </row>
    <row r="26" spans="2:11" ht="15.75" x14ac:dyDescent="0.25">
      <c r="B26" s="345"/>
      <c r="C26" s="350"/>
      <c r="D26" s="345"/>
      <c r="E26" s="345"/>
      <c r="F26" s="345"/>
      <c r="G26" s="345"/>
      <c r="H26" s="345"/>
      <c r="I26" s="347"/>
      <c r="J26" s="346"/>
      <c r="K26" s="346"/>
    </row>
    <row r="27" spans="2:11" ht="15.75" x14ac:dyDescent="0.25">
      <c r="B27" s="351"/>
      <c r="C27" s="352"/>
      <c r="D27" s="348"/>
      <c r="E27" s="353"/>
      <c r="F27" s="353"/>
      <c r="G27" s="345"/>
      <c r="H27" s="345"/>
      <c r="I27" s="347"/>
      <c r="J27" s="346"/>
      <c r="K27" s="346"/>
    </row>
    <row r="28" spans="2:11" ht="15.75" x14ac:dyDescent="0.25">
      <c r="B28" s="351"/>
      <c r="C28" s="354"/>
      <c r="D28" s="353"/>
      <c r="E28" s="353"/>
      <c r="F28" s="353"/>
      <c r="G28" s="345"/>
      <c r="H28" s="345"/>
      <c r="I28" s="347"/>
      <c r="J28" s="346"/>
      <c r="K28" s="346"/>
    </row>
    <row r="29" spans="2:11" ht="15.75" x14ac:dyDescent="0.25">
      <c r="B29" s="345"/>
      <c r="C29" s="350"/>
      <c r="D29" s="345"/>
      <c r="E29" s="345"/>
      <c r="F29" s="345"/>
      <c r="G29" s="345"/>
      <c r="H29" s="345"/>
      <c r="I29" s="347"/>
      <c r="J29" s="346"/>
      <c r="K29" s="346"/>
    </row>
    <row r="30" spans="2:11" ht="15.75" x14ac:dyDescent="0.25">
      <c r="B30" s="306" t="s">
        <v>95</v>
      </c>
      <c r="C30" s="350"/>
      <c r="D30" s="345"/>
      <c r="E30" s="345"/>
      <c r="F30" s="345"/>
      <c r="G30" s="345"/>
      <c r="H30" s="345"/>
      <c r="I30" s="347"/>
      <c r="J30" s="346"/>
      <c r="K30" s="346"/>
    </row>
    <row r="31" spans="2:11" ht="15.75" x14ac:dyDescent="0.25">
      <c r="B31" s="345"/>
      <c r="C31" s="350"/>
      <c r="D31" s="345"/>
      <c r="E31" s="345"/>
      <c r="F31" s="345"/>
      <c r="G31" s="345"/>
      <c r="H31" s="345"/>
      <c r="I31" s="347"/>
      <c r="J31" s="346"/>
      <c r="K31" s="346"/>
    </row>
    <row r="32" spans="2:11" ht="15.75" x14ac:dyDescent="0.25">
      <c r="B32" s="306" t="s">
        <v>263</v>
      </c>
      <c r="C32" s="345"/>
      <c r="D32" s="345"/>
      <c r="E32" s="345"/>
      <c r="F32" s="345"/>
      <c r="G32" s="345"/>
      <c r="H32" s="345"/>
      <c r="I32" s="347"/>
      <c r="J32" s="346"/>
      <c r="K32" s="346"/>
    </row>
    <row r="33" spans="2:11" ht="15" x14ac:dyDescent="0.2">
      <c r="B33" s="355" t="s">
        <v>156</v>
      </c>
      <c r="C33" s="356">
        <f>E5</f>
        <v>6076.3499999999995</v>
      </c>
      <c r="D33" s="345" t="s">
        <v>155</v>
      </c>
      <c r="E33" s="345"/>
      <c r="F33" s="345"/>
      <c r="G33" s="345"/>
      <c r="H33" s="345"/>
      <c r="I33" s="347"/>
      <c r="J33" s="346"/>
      <c r="K33" s="346"/>
    </row>
    <row r="34" spans="2:11" ht="15" x14ac:dyDescent="0.2">
      <c r="B34" s="345" t="s">
        <v>264</v>
      </c>
      <c r="C34" s="357"/>
      <c r="D34" s="345"/>
      <c r="E34" s="345"/>
      <c r="F34" s="345"/>
      <c r="G34" s="345"/>
      <c r="H34" s="345"/>
      <c r="I34" s="347"/>
      <c r="J34" s="346"/>
      <c r="K34" s="346"/>
    </row>
    <row r="35" spans="2:11" ht="15.75" x14ac:dyDescent="0.25">
      <c r="B35" s="345" t="s">
        <v>339</v>
      </c>
      <c r="C35" s="358">
        <f>C33*F44</f>
        <v>911.45249999999987</v>
      </c>
      <c r="D35" s="345" t="s">
        <v>96</v>
      </c>
      <c r="E35" s="345"/>
      <c r="F35" s="345"/>
      <c r="G35" s="345"/>
      <c r="H35" s="345"/>
      <c r="I35" s="347"/>
      <c r="J35" s="346"/>
      <c r="K35" s="346"/>
    </row>
    <row r="36" spans="2:11" ht="15.75" x14ac:dyDescent="0.25">
      <c r="B36" s="337" t="str">
        <f t="shared" ref="B36:E45" si="1">B15</f>
        <v>Vias Urbanas</v>
      </c>
      <c r="C36" s="359" t="str">
        <f t="shared" si="1"/>
        <v>Comprimento (m)</v>
      </c>
      <c r="D36" s="360" t="str">
        <f t="shared" si="1"/>
        <v>Largura (m)</v>
      </c>
      <c r="E36" s="337" t="str">
        <f t="shared" si="1"/>
        <v>Área  Bruta    (m²)</v>
      </c>
      <c r="F36" s="337" t="s">
        <v>261</v>
      </c>
      <c r="G36" s="337" t="s">
        <v>262</v>
      </c>
      <c r="H36" s="351"/>
      <c r="I36" s="347"/>
      <c r="J36" s="346"/>
      <c r="K36" s="346"/>
    </row>
    <row r="37" spans="2:11" ht="15.75" x14ac:dyDescent="0.25">
      <c r="B37" s="337" t="str">
        <f t="shared" si="1"/>
        <v>RUA AMAZONAS</v>
      </c>
      <c r="C37" s="359">
        <f t="shared" si="1"/>
        <v>245</v>
      </c>
      <c r="D37" s="336">
        <f t="shared" si="1"/>
        <v>6.6</v>
      </c>
      <c r="E37" s="336">
        <f t="shared" si="1"/>
        <v>1617</v>
      </c>
      <c r="F37" s="360">
        <v>0.15</v>
      </c>
      <c r="G37" s="360">
        <f>E37*F37</f>
        <v>242.54999999999998</v>
      </c>
      <c r="H37" s="361"/>
      <c r="I37" s="347"/>
      <c r="J37" s="346"/>
      <c r="K37" s="346"/>
    </row>
    <row r="38" spans="2:11" ht="15.75" x14ac:dyDescent="0.25">
      <c r="B38" s="337" t="str">
        <f t="shared" si="1"/>
        <v>RUA CORONEL JOSÉ   GONÇALVES</v>
      </c>
      <c r="C38" s="359">
        <f t="shared" si="1"/>
        <v>194</v>
      </c>
      <c r="D38" s="336">
        <f t="shared" si="1"/>
        <v>6.6</v>
      </c>
      <c r="E38" s="336">
        <f t="shared" si="1"/>
        <v>1280.3999999999999</v>
      </c>
      <c r="F38" s="360">
        <v>0.15</v>
      </c>
      <c r="G38" s="336">
        <f t="shared" ref="G38:G45" si="2">E38*F38</f>
        <v>192.05999999999997</v>
      </c>
      <c r="H38" s="361"/>
      <c r="I38" s="347"/>
      <c r="J38" s="346"/>
      <c r="K38" s="346"/>
    </row>
    <row r="39" spans="2:11" ht="15.75" x14ac:dyDescent="0.25">
      <c r="B39" s="337" t="str">
        <f t="shared" si="1"/>
        <v>RUA QUATRO ( E0 - E1 )</v>
      </c>
      <c r="C39" s="359">
        <f t="shared" si="1"/>
        <v>50</v>
      </c>
      <c r="D39" s="336">
        <f t="shared" si="1"/>
        <v>5.88</v>
      </c>
      <c r="E39" s="336">
        <f t="shared" si="1"/>
        <v>294</v>
      </c>
      <c r="F39" s="360">
        <v>0.15</v>
      </c>
      <c r="G39" s="336">
        <f t="shared" si="2"/>
        <v>44.1</v>
      </c>
      <c r="H39" s="361"/>
      <c r="I39" s="347"/>
      <c r="J39" s="346"/>
      <c r="K39" s="346"/>
    </row>
    <row r="40" spans="2:11" ht="15.75" x14ac:dyDescent="0.25">
      <c r="B40" s="337" t="str">
        <f t="shared" si="1"/>
        <v>RUA QUATRO ( E1 - E2 )</v>
      </c>
      <c r="C40" s="359">
        <f t="shared" si="1"/>
        <v>50</v>
      </c>
      <c r="D40" s="336">
        <f t="shared" si="1"/>
        <v>5.91</v>
      </c>
      <c r="E40" s="336">
        <f t="shared" si="1"/>
        <v>295.5</v>
      </c>
      <c r="F40" s="360">
        <v>0.15</v>
      </c>
      <c r="G40" s="336">
        <f t="shared" si="2"/>
        <v>44.324999999999996</v>
      </c>
      <c r="H40" s="361"/>
      <c r="I40" s="347"/>
      <c r="J40" s="346"/>
      <c r="K40" s="346"/>
    </row>
    <row r="41" spans="2:11" ht="15.75" x14ac:dyDescent="0.25">
      <c r="B41" s="337" t="str">
        <f t="shared" si="1"/>
        <v>RUA QUATRO ( E2 - E3 )</v>
      </c>
      <c r="C41" s="359">
        <f t="shared" si="1"/>
        <v>50</v>
      </c>
      <c r="D41" s="336">
        <f t="shared" si="1"/>
        <v>5.9</v>
      </c>
      <c r="E41" s="336">
        <f t="shared" si="1"/>
        <v>295</v>
      </c>
      <c r="F41" s="360">
        <v>0.15</v>
      </c>
      <c r="G41" s="336">
        <f t="shared" si="2"/>
        <v>44.25</v>
      </c>
      <c r="H41" s="361"/>
      <c r="I41" s="347"/>
      <c r="J41" s="346"/>
      <c r="K41" s="346"/>
    </row>
    <row r="42" spans="2:11" ht="15.75" x14ac:dyDescent="0.25">
      <c r="B42" s="337" t="str">
        <f t="shared" si="1"/>
        <v>RUA QUATRO ( E3- E4 ) +28,12</v>
      </c>
      <c r="C42" s="359">
        <f t="shared" si="1"/>
        <v>78.12</v>
      </c>
      <c r="D42" s="336">
        <f t="shared" si="1"/>
        <v>6.6</v>
      </c>
      <c r="E42" s="336">
        <f t="shared" si="1"/>
        <v>515.59199999999998</v>
      </c>
      <c r="F42" s="360">
        <v>0.15</v>
      </c>
      <c r="G42" s="336">
        <f t="shared" si="2"/>
        <v>77.338799999999992</v>
      </c>
      <c r="H42" s="362">
        <f>G42+G41+G40+G39</f>
        <v>210.01379999999997</v>
      </c>
      <c r="I42" s="347"/>
      <c r="J42" s="346"/>
      <c r="K42" s="346"/>
    </row>
    <row r="43" spans="2:11" ht="15.75" x14ac:dyDescent="0.25">
      <c r="B43" s="337" t="str">
        <f t="shared" si="1"/>
        <v>RUA DONA MESSIAS</v>
      </c>
      <c r="C43" s="359">
        <f t="shared" si="1"/>
        <v>142.63</v>
      </c>
      <c r="D43" s="336">
        <f t="shared" si="1"/>
        <v>6.6</v>
      </c>
      <c r="E43" s="336">
        <f t="shared" si="1"/>
        <v>941.35799999999995</v>
      </c>
      <c r="F43" s="360">
        <v>0.15</v>
      </c>
      <c r="G43" s="336">
        <f t="shared" si="2"/>
        <v>141.2037</v>
      </c>
      <c r="H43" s="361"/>
      <c r="I43" s="347"/>
      <c r="J43" s="346"/>
      <c r="K43" s="346"/>
    </row>
    <row r="44" spans="2:11" ht="15.75" x14ac:dyDescent="0.25">
      <c r="B44" s="337" t="str">
        <f t="shared" si="1"/>
        <v>RUA SÃO GONÇALO -A</v>
      </c>
      <c r="C44" s="359">
        <f t="shared" si="1"/>
        <v>81</v>
      </c>
      <c r="D44" s="336">
        <f t="shared" si="1"/>
        <v>5.9</v>
      </c>
      <c r="E44" s="336">
        <f t="shared" si="1"/>
        <v>477.90000000000003</v>
      </c>
      <c r="F44" s="360">
        <v>0.15</v>
      </c>
      <c r="G44" s="336">
        <f t="shared" si="2"/>
        <v>71.685000000000002</v>
      </c>
      <c r="H44" s="361"/>
      <c r="I44" s="347"/>
      <c r="J44" s="346"/>
      <c r="K44" s="346"/>
    </row>
    <row r="45" spans="2:11" ht="15.75" x14ac:dyDescent="0.25">
      <c r="B45" s="337" t="str">
        <f t="shared" si="1"/>
        <v>RUA SÃO GONÇALO -B</v>
      </c>
      <c r="C45" s="359">
        <f t="shared" si="1"/>
        <v>58</v>
      </c>
      <c r="D45" s="336">
        <f t="shared" si="1"/>
        <v>6.2</v>
      </c>
      <c r="E45" s="336">
        <f t="shared" si="1"/>
        <v>359.6</v>
      </c>
      <c r="F45" s="360">
        <v>0.15</v>
      </c>
      <c r="G45" s="336">
        <f t="shared" si="2"/>
        <v>53.940000000000005</v>
      </c>
      <c r="H45" s="361"/>
      <c r="I45" s="347"/>
      <c r="J45" s="346"/>
      <c r="K45" s="346"/>
    </row>
    <row r="46" spans="2:11" ht="15.75" x14ac:dyDescent="0.25">
      <c r="B46" s="337" t="s">
        <v>2</v>
      </c>
      <c r="C46" s="363">
        <f>SUM(C37:C45)</f>
        <v>948.75</v>
      </c>
      <c r="D46" s="364"/>
      <c r="E46" s="336">
        <f>SUM(E37:E45)</f>
        <v>6076.3499999999995</v>
      </c>
      <c r="F46" s="365"/>
      <c r="G46" s="336">
        <f>SUM(G37:G45)</f>
        <v>911.4525000000001</v>
      </c>
      <c r="H46" s="352"/>
      <c r="I46" s="347"/>
      <c r="J46" s="346"/>
      <c r="K46" s="346"/>
    </row>
    <row r="47" spans="2:11" ht="15.75" x14ac:dyDescent="0.25">
      <c r="B47" s="306" t="s">
        <v>97</v>
      </c>
      <c r="C47" s="345"/>
      <c r="D47" s="345"/>
      <c r="E47" s="345"/>
      <c r="F47" s="345"/>
      <c r="G47" s="345"/>
      <c r="H47" s="345"/>
      <c r="I47" s="347"/>
      <c r="J47" s="346"/>
      <c r="K47" s="346"/>
    </row>
    <row r="48" spans="2:11" ht="15.75" x14ac:dyDescent="0.25">
      <c r="B48" s="306" t="s">
        <v>340</v>
      </c>
      <c r="C48" s="345"/>
      <c r="D48" s="345"/>
      <c r="E48" s="345"/>
      <c r="F48" s="345"/>
      <c r="G48" s="345"/>
      <c r="H48" s="345"/>
      <c r="I48" s="347"/>
      <c r="J48" s="346"/>
      <c r="K48" s="346"/>
    </row>
    <row r="49" spans="2:11" ht="15" x14ac:dyDescent="0.2">
      <c r="B49" s="345" t="s">
        <v>264</v>
      </c>
      <c r="C49" s="357"/>
      <c r="D49" s="345"/>
      <c r="E49" s="345"/>
      <c r="F49" s="345"/>
      <c r="G49" s="345"/>
      <c r="H49" s="345"/>
      <c r="I49" s="347"/>
      <c r="J49" s="346"/>
      <c r="K49" s="346"/>
    </row>
    <row r="50" spans="2:11" ht="15" x14ac:dyDescent="0.2">
      <c r="B50" s="345" t="s">
        <v>98</v>
      </c>
      <c r="C50" s="345"/>
      <c r="D50" s="345"/>
      <c r="E50" s="345"/>
      <c r="F50" s="345"/>
      <c r="G50" s="345"/>
      <c r="H50" s="345"/>
      <c r="I50" s="347"/>
      <c r="J50" s="346"/>
      <c r="K50" s="346"/>
    </row>
    <row r="51" spans="2:11" ht="15.75" x14ac:dyDescent="0.25">
      <c r="B51" s="345" t="s">
        <v>341</v>
      </c>
      <c r="C51" s="358">
        <f t="shared" ref="C51:C61" si="3">C35</f>
        <v>911.45249999999987</v>
      </c>
      <c r="D51" s="345" t="s">
        <v>99</v>
      </c>
      <c r="E51" s="345"/>
      <c r="F51" s="345"/>
      <c r="G51" s="345"/>
      <c r="H51" s="345"/>
      <c r="I51" s="347"/>
      <c r="J51" s="346"/>
      <c r="K51" s="346"/>
    </row>
    <row r="52" spans="2:11" ht="15.75" x14ac:dyDescent="0.25">
      <c r="B52" s="337" t="str">
        <f>B65</f>
        <v>Vias Urbanas</v>
      </c>
      <c r="C52" s="366" t="str">
        <f t="shared" si="3"/>
        <v>Comprimento (m)</v>
      </c>
      <c r="D52" s="360" t="str">
        <f>D36</f>
        <v>Largura (m)</v>
      </c>
      <c r="E52" s="360" t="str">
        <f>E36</f>
        <v>Área  Bruta    (m²)</v>
      </c>
      <c r="F52" s="337" t="str">
        <f>F36</f>
        <v>Espessura (m)</v>
      </c>
      <c r="G52" s="337" t="str">
        <f>G36</f>
        <v>Volume (m3)</v>
      </c>
      <c r="H52" s="337" t="s">
        <v>268</v>
      </c>
      <c r="I52" s="360" t="s">
        <v>269</v>
      </c>
      <c r="J52" s="367"/>
      <c r="K52" s="367"/>
    </row>
    <row r="53" spans="2:11" ht="15.75" x14ac:dyDescent="0.25">
      <c r="B53" s="337" t="str">
        <f t="shared" ref="B53:B61" si="4">B37</f>
        <v>RUA AMAZONAS</v>
      </c>
      <c r="C53" s="359">
        <f t="shared" si="3"/>
        <v>245</v>
      </c>
      <c r="D53" s="336">
        <f t="shared" ref="D53:E61" si="5">D37</f>
        <v>6.6</v>
      </c>
      <c r="E53" s="360">
        <f t="shared" si="5"/>
        <v>1617</v>
      </c>
      <c r="F53" s="360">
        <v>0.15</v>
      </c>
      <c r="G53" s="336">
        <f t="shared" ref="G53:G61" si="6">G37</f>
        <v>242.54999999999998</v>
      </c>
      <c r="H53" s="336">
        <v>1</v>
      </c>
      <c r="I53" s="360">
        <f>H53*G53</f>
        <v>242.54999999999998</v>
      </c>
      <c r="J53" s="367"/>
      <c r="K53" s="367"/>
    </row>
    <row r="54" spans="2:11" ht="15.75" x14ac:dyDescent="0.25">
      <c r="B54" s="337" t="str">
        <f t="shared" si="4"/>
        <v>RUA CORONEL JOSÉ   GONÇALVES</v>
      </c>
      <c r="C54" s="359">
        <f t="shared" si="3"/>
        <v>194</v>
      </c>
      <c r="D54" s="336">
        <f t="shared" si="5"/>
        <v>6.6</v>
      </c>
      <c r="E54" s="360">
        <f t="shared" si="5"/>
        <v>1280.3999999999999</v>
      </c>
      <c r="F54" s="360">
        <v>0.15</v>
      </c>
      <c r="G54" s="336">
        <f t="shared" si="6"/>
        <v>192.05999999999997</v>
      </c>
      <c r="H54" s="336">
        <v>1</v>
      </c>
      <c r="I54" s="360">
        <f t="shared" ref="I54:I61" si="7">H54*G54</f>
        <v>192.05999999999997</v>
      </c>
      <c r="J54" s="367"/>
      <c r="K54" s="367"/>
    </row>
    <row r="55" spans="2:11" ht="15.75" x14ac:dyDescent="0.25">
      <c r="B55" s="337" t="str">
        <f t="shared" si="4"/>
        <v>RUA QUATRO ( E0 - E1 )</v>
      </c>
      <c r="C55" s="359">
        <f t="shared" si="3"/>
        <v>50</v>
      </c>
      <c r="D55" s="336">
        <f t="shared" si="5"/>
        <v>5.88</v>
      </c>
      <c r="E55" s="360">
        <f t="shared" si="5"/>
        <v>294</v>
      </c>
      <c r="F55" s="360">
        <v>0.15</v>
      </c>
      <c r="G55" s="336">
        <f t="shared" si="6"/>
        <v>44.1</v>
      </c>
      <c r="H55" s="336">
        <v>1</v>
      </c>
      <c r="I55" s="360">
        <f t="shared" si="7"/>
        <v>44.1</v>
      </c>
      <c r="J55" s="367"/>
      <c r="K55" s="367"/>
    </row>
    <row r="56" spans="2:11" ht="15.75" x14ac:dyDescent="0.25">
      <c r="B56" s="337" t="str">
        <f t="shared" si="4"/>
        <v>RUA QUATRO ( E1 - E2 )</v>
      </c>
      <c r="C56" s="359">
        <f t="shared" si="3"/>
        <v>50</v>
      </c>
      <c r="D56" s="336">
        <f t="shared" si="5"/>
        <v>5.91</v>
      </c>
      <c r="E56" s="360">
        <f t="shared" si="5"/>
        <v>295.5</v>
      </c>
      <c r="F56" s="360">
        <v>0.15</v>
      </c>
      <c r="G56" s="336">
        <f t="shared" si="6"/>
        <v>44.324999999999996</v>
      </c>
      <c r="H56" s="336">
        <v>1</v>
      </c>
      <c r="I56" s="360">
        <f t="shared" si="7"/>
        <v>44.324999999999996</v>
      </c>
      <c r="J56" s="346"/>
      <c r="K56" s="346"/>
    </row>
    <row r="57" spans="2:11" ht="15.75" x14ac:dyDescent="0.25">
      <c r="B57" s="337" t="str">
        <f t="shared" si="4"/>
        <v>RUA QUATRO ( E2 - E3 )</v>
      </c>
      <c r="C57" s="359">
        <f t="shared" si="3"/>
        <v>50</v>
      </c>
      <c r="D57" s="336">
        <f t="shared" si="5"/>
        <v>5.9</v>
      </c>
      <c r="E57" s="360">
        <f t="shared" si="5"/>
        <v>295</v>
      </c>
      <c r="F57" s="360">
        <v>0.15</v>
      </c>
      <c r="G57" s="336">
        <f t="shared" si="6"/>
        <v>44.25</v>
      </c>
      <c r="H57" s="336">
        <v>1</v>
      </c>
      <c r="I57" s="360">
        <f t="shared" si="7"/>
        <v>44.25</v>
      </c>
      <c r="J57" s="346"/>
      <c r="K57" s="346"/>
    </row>
    <row r="58" spans="2:11" ht="15.75" x14ac:dyDescent="0.25">
      <c r="B58" s="337" t="str">
        <f t="shared" si="4"/>
        <v>RUA QUATRO ( E3- E4 ) +28,12</v>
      </c>
      <c r="C58" s="359">
        <f t="shared" si="3"/>
        <v>78.12</v>
      </c>
      <c r="D58" s="336">
        <f t="shared" si="5"/>
        <v>6.6</v>
      </c>
      <c r="E58" s="360">
        <f t="shared" si="5"/>
        <v>515.59199999999998</v>
      </c>
      <c r="F58" s="360">
        <v>0.15</v>
      </c>
      <c r="G58" s="336">
        <f t="shared" si="6"/>
        <v>77.338799999999992</v>
      </c>
      <c r="H58" s="336">
        <v>1</v>
      </c>
      <c r="I58" s="360">
        <f t="shared" si="7"/>
        <v>77.338799999999992</v>
      </c>
      <c r="J58" s="346"/>
      <c r="K58" s="346"/>
    </row>
    <row r="59" spans="2:11" ht="15.75" x14ac:dyDescent="0.25">
      <c r="B59" s="337" t="str">
        <f t="shared" si="4"/>
        <v>RUA DONA MESSIAS</v>
      </c>
      <c r="C59" s="359">
        <f t="shared" si="3"/>
        <v>142.63</v>
      </c>
      <c r="D59" s="336">
        <f t="shared" si="5"/>
        <v>6.6</v>
      </c>
      <c r="E59" s="360">
        <f t="shared" si="5"/>
        <v>941.35799999999995</v>
      </c>
      <c r="F59" s="360">
        <v>0.15</v>
      </c>
      <c r="G59" s="336">
        <f t="shared" si="6"/>
        <v>141.2037</v>
      </c>
      <c r="H59" s="336">
        <v>1</v>
      </c>
      <c r="I59" s="360">
        <f t="shared" si="7"/>
        <v>141.2037</v>
      </c>
      <c r="J59" s="346"/>
      <c r="K59" s="346"/>
    </row>
    <row r="60" spans="2:11" ht="15.75" x14ac:dyDescent="0.25">
      <c r="B60" s="337" t="str">
        <f t="shared" si="4"/>
        <v>RUA SÃO GONÇALO -A</v>
      </c>
      <c r="C60" s="359">
        <f t="shared" si="3"/>
        <v>81</v>
      </c>
      <c r="D60" s="336">
        <f t="shared" si="5"/>
        <v>5.9</v>
      </c>
      <c r="E60" s="360">
        <f t="shared" si="5"/>
        <v>477.90000000000003</v>
      </c>
      <c r="F60" s="360">
        <v>0.15</v>
      </c>
      <c r="G60" s="336">
        <f t="shared" si="6"/>
        <v>71.685000000000002</v>
      </c>
      <c r="H60" s="336">
        <v>1</v>
      </c>
      <c r="I60" s="360">
        <f t="shared" si="7"/>
        <v>71.685000000000002</v>
      </c>
      <c r="J60" s="346"/>
      <c r="K60" s="346"/>
    </row>
    <row r="61" spans="2:11" ht="15.75" x14ac:dyDescent="0.25">
      <c r="B61" s="337" t="str">
        <f t="shared" si="4"/>
        <v>RUA SÃO GONÇALO -B</v>
      </c>
      <c r="C61" s="359">
        <f t="shared" si="3"/>
        <v>58</v>
      </c>
      <c r="D61" s="336">
        <f t="shared" si="5"/>
        <v>6.2</v>
      </c>
      <c r="E61" s="360">
        <f t="shared" si="5"/>
        <v>359.6</v>
      </c>
      <c r="F61" s="360">
        <v>0.15</v>
      </c>
      <c r="G61" s="336">
        <f t="shared" si="6"/>
        <v>53.940000000000005</v>
      </c>
      <c r="H61" s="336">
        <v>1</v>
      </c>
      <c r="I61" s="360">
        <f t="shared" si="7"/>
        <v>53.940000000000005</v>
      </c>
      <c r="J61" s="346"/>
      <c r="K61" s="346"/>
    </row>
    <row r="62" spans="2:11" ht="15.75" x14ac:dyDescent="0.25">
      <c r="B62" s="337" t="str">
        <f>B75</f>
        <v xml:space="preserve">TOTAL </v>
      </c>
      <c r="C62" s="359">
        <f>SUM(C53:C61)</f>
        <v>948.75</v>
      </c>
      <c r="D62" s="336"/>
      <c r="E62" s="336">
        <f>SUM(E53:E61)</f>
        <v>6076.3499999999995</v>
      </c>
      <c r="F62" s="368"/>
      <c r="G62" s="369">
        <f>SUM(G53:G61)</f>
        <v>911.4525000000001</v>
      </c>
      <c r="H62" s="369"/>
      <c r="I62" s="369">
        <f>SUM(I53:I61)</f>
        <v>911.4525000000001</v>
      </c>
      <c r="J62" s="346"/>
      <c r="K62" s="346"/>
    </row>
    <row r="63" spans="2:11" ht="15.75" x14ac:dyDescent="0.25">
      <c r="B63" s="306" t="s">
        <v>100</v>
      </c>
      <c r="C63" s="345"/>
      <c r="D63" s="345"/>
      <c r="E63" s="345"/>
      <c r="F63" s="345"/>
      <c r="G63" s="345"/>
      <c r="H63" s="345"/>
      <c r="I63" s="347"/>
      <c r="J63" s="346"/>
      <c r="K63" s="346"/>
    </row>
    <row r="64" spans="2:11" ht="15" x14ac:dyDescent="0.2">
      <c r="B64" s="345"/>
      <c r="C64" s="345"/>
      <c r="D64" s="345"/>
      <c r="E64" s="345"/>
      <c r="F64" s="345"/>
      <c r="G64" s="345"/>
      <c r="H64" s="345"/>
      <c r="I64" s="347"/>
      <c r="J64" s="346"/>
      <c r="K64" s="346"/>
    </row>
    <row r="65" spans="2:11" ht="15.75" x14ac:dyDescent="0.2">
      <c r="B65" s="321" t="str">
        <f>B15</f>
        <v>Vias Urbanas</v>
      </c>
      <c r="C65" s="330" t="str">
        <f>C15</f>
        <v>Comprimento (m)</v>
      </c>
      <c r="D65" s="330" t="str">
        <f>D15</f>
        <v>Largura (m)</v>
      </c>
      <c r="E65" s="331" t="str">
        <f>E15</f>
        <v>Área  Bruta    (m²)</v>
      </c>
      <c r="F65" s="470" t="str">
        <f>F15</f>
        <v>OBS</v>
      </c>
      <c r="G65" s="471"/>
      <c r="H65" s="346"/>
      <c r="I65" s="346"/>
      <c r="J65" s="346"/>
      <c r="K65" s="346"/>
    </row>
    <row r="66" spans="2:11" ht="15.75" x14ac:dyDescent="0.2">
      <c r="B66" s="321" t="str">
        <f t="shared" ref="B66:E71" si="8">B53</f>
        <v>RUA AMAZONAS</v>
      </c>
      <c r="C66" s="370">
        <f t="shared" si="8"/>
        <v>245</v>
      </c>
      <c r="D66" s="332">
        <f t="shared" si="8"/>
        <v>6.6</v>
      </c>
      <c r="E66" s="331">
        <f t="shared" si="8"/>
        <v>1617</v>
      </c>
      <c r="F66" s="331"/>
      <c r="G66" s="371"/>
      <c r="H66" s="346"/>
      <c r="I66" s="346"/>
      <c r="J66" s="346"/>
      <c r="K66" s="346"/>
    </row>
    <row r="67" spans="2:11" ht="15.75" x14ac:dyDescent="0.2">
      <c r="B67" s="321" t="str">
        <f t="shared" si="8"/>
        <v>RUA CORONEL JOSÉ   GONÇALVES</v>
      </c>
      <c r="C67" s="370">
        <f t="shared" si="8"/>
        <v>194</v>
      </c>
      <c r="D67" s="332">
        <f t="shared" si="8"/>
        <v>6.6</v>
      </c>
      <c r="E67" s="331">
        <f t="shared" si="8"/>
        <v>1280.3999999999999</v>
      </c>
      <c r="F67" s="331"/>
      <c r="G67" s="371"/>
      <c r="H67" s="346"/>
      <c r="I67" s="346"/>
      <c r="J67" s="346"/>
      <c r="K67" s="346"/>
    </row>
    <row r="68" spans="2:11" ht="15.75" x14ac:dyDescent="0.2">
      <c r="B68" s="321" t="str">
        <f t="shared" si="8"/>
        <v>RUA QUATRO ( E0 - E1 )</v>
      </c>
      <c r="C68" s="370">
        <f t="shared" si="8"/>
        <v>50</v>
      </c>
      <c r="D68" s="332">
        <f t="shared" si="8"/>
        <v>5.88</v>
      </c>
      <c r="E68" s="331">
        <f t="shared" si="8"/>
        <v>294</v>
      </c>
      <c r="F68" s="331"/>
      <c r="G68" s="371"/>
      <c r="H68" s="346"/>
      <c r="I68" s="346"/>
      <c r="J68" s="346"/>
      <c r="K68" s="346"/>
    </row>
    <row r="69" spans="2:11" ht="15.75" x14ac:dyDescent="0.2">
      <c r="B69" s="321" t="str">
        <f t="shared" si="8"/>
        <v>RUA QUATRO ( E1 - E2 )</v>
      </c>
      <c r="C69" s="370">
        <f t="shared" si="8"/>
        <v>50</v>
      </c>
      <c r="D69" s="332">
        <f t="shared" si="8"/>
        <v>5.91</v>
      </c>
      <c r="E69" s="331">
        <f t="shared" si="8"/>
        <v>295.5</v>
      </c>
      <c r="F69" s="331"/>
      <c r="G69" s="371"/>
      <c r="H69" s="346"/>
      <c r="I69" s="346"/>
      <c r="J69" s="346"/>
      <c r="K69" s="346"/>
    </row>
    <row r="70" spans="2:11" ht="15.75" x14ac:dyDescent="0.2">
      <c r="B70" s="321" t="str">
        <f t="shared" si="8"/>
        <v>RUA QUATRO ( E2 - E3 )</v>
      </c>
      <c r="C70" s="370">
        <f t="shared" si="8"/>
        <v>50</v>
      </c>
      <c r="D70" s="332">
        <f t="shared" si="8"/>
        <v>5.9</v>
      </c>
      <c r="E70" s="331">
        <f t="shared" si="8"/>
        <v>295</v>
      </c>
      <c r="F70" s="331"/>
      <c r="G70" s="371"/>
      <c r="H70" s="346"/>
      <c r="I70" s="346"/>
      <c r="J70" s="346"/>
      <c r="K70" s="346"/>
    </row>
    <row r="71" spans="2:11" ht="15.75" x14ac:dyDescent="0.2">
      <c r="B71" s="321" t="str">
        <f t="shared" si="8"/>
        <v>RUA QUATRO ( E3- E4 ) +28,12</v>
      </c>
      <c r="C71" s="370">
        <f t="shared" si="8"/>
        <v>78.12</v>
      </c>
      <c r="D71" s="332">
        <f t="shared" si="8"/>
        <v>6.6</v>
      </c>
      <c r="E71" s="331">
        <f t="shared" si="8"/>
        <v>515.59199999999998</v>
      </c>
      <c r="F71" s="331"/>
      <c r="G71" s="371"/>
      <c r="H71" s="346"/>
      <c r="I71" s="346"/>
      <c r="J71" s="346"/>
      <c r="K71" s="346"/>
    </row>
    <row r="72" spans="2:11" ht="15.75" x14ac:dyDescent="0.2">
      <c r="B72" s="321" t="str">
        <f t="shared" ref="B72:D74" si="9">B59</f>
        <v>RUA DONA MESSIAS</v>
      </c>
      <c r="C72" s="370">
        <f t="shared" si="9"/>
        <v>142.63</v>
      </c>
      <c r="D72" s="332">
        <f t="shared" si="9"/>
        <v>6.6</v>
      </c>
      <c r="E72" s="331">
        <f>E59</f>
        <v>941.35799999999995</v>
      </c>
      <c r="F72" s="331"/>
      <c r="G72" s="371"/>
      <c r="H72" s="346"/>
      <c r="I72" s="346"/>
      <c r="J72" s="346"/>
      <c r="K72" s="346"/>
    </row>
    <row r="73" spans="2:11" ht="15.75" x14ac:dyDescent="0.2">
      <c r="B73" s="321" t="str">
        <f t="shared" si="9"/>
        <v>RUA SÃO GONÇALO -A</v>
      </c>
      <c r="C73" s="370">
        <f t="shared" si="9"/>
        <v>81</v>
      </c>
      <c r="D73" s="332">
        <f t="shared" si="9"/>
        <v>5.9</v>
      </c>
      <c r="E73" s="331">
        <f>E60</f>
        <v>477.90000000000003</v>
      </c>
      <c r="F73" s="331"/>
      <c r="G73" s="371"/>
      <c r="H73" s="346"/>
      <c r="I73" s="346"/>
      <c r="J73" s="346"/>
      <c r="K73" s="346"/>
    </row>
    <row r="74" spans="2:11" ht="15.75" x14ac:dyDescent="0.2">
      <c r="B74" s="321" t="str">
        <f t="shared" si="9"/>
        <v>RUA SÃO GONÇALO -B</v>
      </c>
      <c r="C74" s="370">
        <f t="shared" si="9"/>
        <v>58</v>
      </c>
      <c r="D74" s="332">
        <f t="shared" si="9"/>
        <v>6.2</v>
      </c>
      <c r="E74" s="331">
        <f>E61</f>
        <v>359.6</v>
      </c>
      <c r="F74" s="464"/>
      <c r="G74" s="465"/>
      <c r="H74" s="346"/>
      <c r="I74" s="346"/>
      <c r="J74" s="346"/>
      <c r="K74" s="346"/>
    </row>
    <row r="75" spans="2:11" ht="15.75" x14ac:dyDescent="0.25">
      <c r="B75" s="321" t="str">
        <f>B25</f>
        <v xml:space="preserve">TOTAL </v>
      </c>
      <c r="C75" s="372">
        <f>SUM(C66:C74)</f>
        <v>948.75</v>
      </c>
      <c r="D75" s="373"/>
      <c r="E75" s="332">
        <f>SUM(E66:E74)</f>
        <v>6076.3499999999995</v>
      </c>
      <c r="F75" s="450"/>
      <c r="G75" s="451"/>
      <c r="H75" s="346"/>
      <c r="I75" s="346"/>
      <c r="J75" s="346"/>
      <c r="K75" s="346"/>
    </row>
    <row r="76" spans="2:11" ht="15.75" x14ac:dyDescent="0.25">
      <c r="B76" s="374"/>
      <c r="C76" s="375"/>
      <c r="D76" s="351"/>
      <c r="E76" s="351"/>
      <c r="F76" s="376"/>
      <c r="G76" s="377"/>
      <c r="H76" s="377"/>
      <c r="I76" s="378"/>
      <c r="J76" s="346"/>
      <c r="K76" s="346"/>
    </row>
    <row r="77" spans="2:11" ht="15.75" x14ac:dyDescent="0.25">
      <c r="B77" s="306" t="s">
        <v>267</v>
      </c>
      <c r="C77" s="345"/>
      <c r="D77" s="345"/>
      <c r="E77" s="345"/>
      <c r="F77" s="345"/>
      <c r="G77" s="345"/>
      <c r="H77" s="345"/>
      <c r="I77" s="347"/>
      <c r="J77" s="346"/>
      <c r="K77" s="346"/>
    </row>
    <row r="78" spans="2:11" ht="15.75" x14ac:dyDescent="0.25">
      <c r="B78" s="306" t="s">
        <v>340</v>
      </c>
      <c r="C78" s="345"/>
      <c r="D78" s="345"/>
      <c r="E78" s="345"/>
      <c r="F78" s="345"/>
      <c r="G78" s="345"/>
      <c r="H78" s="345"/>
      <c r="I78" s="347"/>
      <c r="J78" s="346"/>
      <c r="K78" s="346"/>
    </row>
    <row r="79" spans="2:11" ht="15" x14ac:dyDescent="0.2">
      <c r="B79" s="345" t="s">
        <v>264</v>
      </c>
      <c r="C79" s="357"/>
      <c r="D79" s="345"/>
      <c r="E79" s="345"/>
      <c r="F79" s="345"/>
      <c r="G79" s="345"/>
      <c r="H79" s="345"/>
      <c r="I79" s="347"/>
      <c r="J79" s="346"/>
      <c r="K79" s="346"/>
    </row>
    <row r="80" spans="2:11" ht="15.75" x14ac:dyDescent="0.25">
      <c r="B80" s="345" t="s">
        <v>342</v>
      </c>
      <c r="C80" s="358">
        <f>G91</f>
        <v>911.4525000000001</v>
      </c>
      <c r="D80" s="306" t="s">
        <v>96</v>
      </c>
      <c r="E80" s="345"/>
      <c r="F80" s="345"/>
      <c r="G80" s="345"/>
      <c r="H80" s="345"/>
      <c r="I80" s="347"/>
      <c r="J80" s="346"/>
      <c r="K80" s="346"/>
    </row>
    <row r="81" spans="2:11" ht="15.75" x14ac:dyDescent="0.25">
      <c r="B81" s="337" t="str">
        <f t="shared" ref="B81:E82" si="10">B65</f>
        <v>Vias Urbanas</v>
      </c>
      <c r="C81" s="359" t="str">
        <f t="shared" si="10"/>
        <v>Comprimento (m)</v>
      </c>
      <c r="D81" s="360" t="str">
        <f t="shared" si="10"/>
        <v>Largura (m)</v>
      </c>
      <c r="E81" s="360" t="str">
        <f t="shared" si="10"/>
        <v>Área  Bruta    (m²)</v>
      </c>
      <c r="F81" s="337" t="s">
        <v>261</v>
      </c>
      <c r="G81" s="337" t="s">
        <v>262</v>
      </c>
      <c r="H81" s="351"/>
      <c r="I81" s="347"/>
      <c r="J81" s="346"/>
      <c r="K81" s="346"/>
    </row>
    <row r="82" spans="2:11" ht="15.75" x14ac:dyDescent="0.25">
      <c r="B82" s="337" t="str">
        <f t="shared" si="10"/>
        <v>RUA AMAZONAS</v>
      </c>
      <c r="C82" s="359">
        <f t="shared" si="10"/>
        <v>245</v>
      </c>
      <c r="D82" s="336">
        <f t="shared" si="10"/>
        <v>6.6</v>
      </c>
      <c r="E82" s="360">
        <f t="shared" si="10"/>
        <v>1617</v>
      </c>
      <c r="F82" s="360">
        <v>0.15</v>
      </c>
      <c r="G82" s="336">
        <f t="shared" ref="G82:G87" si="11">G53</f>
        <v>242.54999999999998</v>
      </c>
      <c r="H82" s="351"/>
      <c r="I82" s="347"/>
      <c r="J82" s="346"/>
      <c r="K82" s="346"/>
    </row>
    <row r="83" spans="2:11" ht="15.75" x14ac:dyDescent="0.25">
      <c r="B83" s="337" t="str">
        <f t="shared" ref="B83:E90" si="12">B67</f>
        <v>RUA CORONEL JOSÉ   GONÇALVES</v>
      </c>
      <c r="C83" s="359">
        <f t="shared" si="12"/>
        <v>194</v>
      </c>
      <c r="D83" s="336">
        <f t="shared" si="12"/>
        <v>6.6</v>
      </c>
      <c r="E83" s="360">
        <f t="shared" si="12"/>
        <v>1280.3999999999999</v>
      </c>
      <c r="F83" s="360">
        <v>0.15</v>
      </c>
      <c r="G83" s="336">
        <f t="shared" si="11"/>
        <v>192.05999999999997</v>
      </c>
      <c r="H83" s="351"/>
      <c r="I83" s="347"/>
      <c r="J83" s="346"/>
      <c r="K83" s="346"/>
    </row>
    <row r="84" spans="2:11" ht="15.75" x14ac:dyDescent="0.25">
      <c r="B84" s="337" t="str">
        <f t="shared" si="12"/>
        <v>RUA QUATRO ( E0 - E1 )</v>
      </c>
      <c r="C84" s="359">
        <f t="shared" si="12"/>
        <v>50</v>
      </c>
      <c r="D84" s="336">
        <f t="shared" si="12"/>
        <v>5.88</v>
      </c>
      <c r="E84" s="360">
        <f t="shared" si="12"/>
        <v>294</v>
      </c>
      <c r="F84" s="360">
        <v>0.15</v>
      </c>
      <c r="G84" s="336">
        <f t="shared" si="11"/>
        <v>44.1</v>
      </c>
      <c r="H84" s="351"/>
      <c r="I84" s="347"/>
      <c r="J84" s="346"/>
      <c r="K84" s="346"/>
    </row>
    <row r="85" spans="2:11" ht="15.75" x14ac:dyDescent="0.25">
      <c r="B85" s="337" t="str">
        <f t="shared" si="12"/>
        <v>RUA QUATRO ( E1 - E2 )</v>
      </c>
      <c r="C85" s="359">
        <f t="shared" si="12"/>
        <v>50</v>
      </c>
      <c r="D85" s="336">
        <f t="shared" si="12"/>
        <v>5.91</v>
      </c>
      <c r="E85" s="360">
        <f t="shared" si="12"/>
        <v>295.5</v>
      </c>
      <c r="F85" s="360">
        <v>0.15</v>
      </c>
      <c r="G85" s="336">
        <f t="shared" si="11"/>
        <v>44.324999999999996</v>
      </c>
      <c r="H85" s="361"/>
      <c r="I85" s="347"/>
      <c r="J85" s="346"/>
      <c r="K85" s="346"/>
    </row>
    <row r="86" spans="2:11" ht="15.75" x14ac:dyDescent="0.25">
      <c r="B86" s="337" t="str">
        <f t="shared" si="12"/>
        <v>RUA QUATRO ( E2 - E3 )</v>
      </c>
      <c r="C86" s="359">
        <f t="shared" si="12"/>
        <v>50</v>
      </c>
      <c r="D86" s="336">
        <f t="shared" si="12"/>
        <v>5.9</v>
      </c>
      <c r="E86" s="360">
        <f t="shared" si="12"/>
        <v>295</v>
      </c>
      <c r="F86" s="360">
        <v>0.15</v>
      </c>
      <c r="G86" s="336">
        <f t="shared" si="11"/>
        <v>44.25</v>
      </c>
      <c r="H86" s="361"/>
      <c r="I86" s="347"/>
      <c r="J86" s="346"/>
      <c r="K86" s="346"/>
    </row>
    <row r="87" spans="2:11" ht="15.75" x14ac:dyDescent="0.25">
      <c r="B87" s="337" t="str">
        <f t="shared" si="12"/>
        <v>RUA QUATRO ( E3- E4 ) +28,12</v>
      </c>
      <c r="C87" s="359">
        <f t="shared" si="12"/>
        <v>78.12</v>
      </c>
      <c r="D87" s="336">
        <f t="shared" si="12"/>
        <v>6.6</v>
      </c>
      <c r="E87" s="360">
        <f t="shared" si="12"/>
        <v>515.59199999999998</v>
      </c>
      <c r="F87" s="360">
        <v>0.15</v>
      </c>
      <c r="G87" s="336">
        <f t="shared" si="11"/>
        <v>77.338799999999992</v>
      </c>
      <c r="H87" s="361"/>
      <c r="I87" s="347"/>
      <c r="J87" s="346"/>
      <c r="K87" s="346"/>
    </row>
    <row r="88" spans="2:11" ht="15.75" x14ac:dyDescent="0.25">
      <c r="B88" s="337" t="str">
        <f t="shared" si="12"/>
        <v>RUA DONA MESSIAS</v>
      </c>
      <c r="C88" s="359">
        <f t="shared" si="12"/>
        <v>142.63</v>
      </c>
      <c r="D88" s="336">
        <f t="shared" si="12"/>
        <v>6.6</v>
      </c>
      <c r="E88" s="360">
        <f t="shared" si="12"/>
        <v>941.35799999999995</v>
      </c>
      <c r="F88" s="360">
        <v>0.15</v>
      </c>
      <c r="G88" s="336">
        <f>G59</f>
        <v>141.2037</v>
      </c>
      <c r="H88" s="361"/>
      <c r="I88" s="347"/>
      <c r="J88" s="346"/>
      <c r="K88" s="346"/>
    </row>
    <row r="89" spans="2:11" ht="15.75" x14ac:dyDescent="0.25">
      <c r="B89" s="337" t="str">
        <f t="shared" si="12"/>
        <v>RUA SÃO GONÇALO -A</v>
      </c>
      <c r="C89" s="359">
        <f t="shared" si="12"/>
        <v>81</v>
      </c>
      <c r="D89" s="336">
        <f t="shared" si="12"/>
        <v>5.9</v>
      </c>
      <c r="E89" s="360">
        <f t="shared" si="12"/>
        <v>477.90000000000003</v>
      </c>
      <c r="F89" s="360">
        <v>0.15</v>
      </c>
      <c r="G89" s="336">
        <f>G60</f>
        <v>71.685000000000002</v>
      </c>
      <c r="H89" s="361"/>
      <c r="I89" s="347"/>
      <c r="J89" s="346"/>
      <c r="K89" s="346"/>
    </row>
    <row r="90" spans="2:11" ht="15.75" x14ac:dyDescent="0.25">
      <c r="B90" s="337" t="str">
        <f t="shared" si="12"/>
        <v>RUA SÃO GONÇALO -B</v>
      </c>
      <c r="C90" s="359">
        <f t="shared" si="12"/>
        <v>58</v>
      </c>
      <c r="D90" s="336">
        <f t="shared" si="12"/>
        <v>6.2</v>
      </c>
      <c r="E90" s="360">
        <f t="shared" si="12"/>
        <v>359.6</v>
      </c>
      <c r="F90" s="360">
        <v>0.15</v>
      </c>
      <c r="G90" s="336">
        <f>G61</f>
        <v>53.940000000000005</v>
      </c>
      <c r="H90" s="361"/>
      <c r="I90" s="347"/>
      <c r="J90" s="346"/>
      <c r="K90" s="346"/>
    </row>
    <row r="91" spans="2:11" ht="15.75" x14ac:dyDescent="0.25">
      <c r="B91" s="337" t="str">
        <f>B75</f>
        <v xml:space="preserve">TOTAL </v>
      </c>
      <c r="C91" s="359">
        <f>SUM(C82:C90)</f>
        <v>948.75</v>
      </c>
      <c r="D91" s="360"/>
      <c r="E91" s="360">
        <f>SUM(E82:E90)</f>
        <v>6076.3499999999995</v>
      </c>
      <c r="F91" s="368"/>
      <c r="G91" s="369">
        <f>SUM(G82:G90)</f>
        <v>911.4525000000001</v>
      </c>
      <c r="H91" s="379"/>
      <c r="I91" s="347"/>
      <c r="J91" s="346"/>
      <c r="K91" s="346"/>
    </row>
    <row r="92" spans="2:11" ht="15" x14ac:dyDescent="0.2">
      <c r="B92" s="345"/>
      <c r="C92" s="345"/>
      <c r="D92" s="345"/>
      <c r="E92" s="345"/>
      <c r="F92" s="345"/>
      <c r="G92" s="345"/>
      <c r="H92" s="345"/>
      <c r="I92" s="347"/>
      <c r="J92" s="346"/>
      <c r="K92" s="346"/>
    </row>
    <row r="93" spans="2:11" ht="15.75" x14ac:dyDescent="0.25">
      <c r="B93" s="306" t="s">
        <v>337</v>
      </c>
      <c r="C93" s="345"/>
      <c r="D93" s="345"/>
      <c r="E93" s="345"/>
      <c r="F93" s="345"/>
      <c r="G93" s="345"/>
      <c r="H93" s="345"/>
      <c r="I93" s="347"/>
      <c r="J93" s="346"/>
      <c r="K93" s="346"/>
    </row>
    <row r="94" spans="2:11" ht="15" x14ac:dyDescent="0.2">
      <c r="B94" s="345" t="s">
        <v>343</v>
      </c>
      <c r="C94" s="345"/>
      <c r="D94" s="345"/>
      <c r="E94" s="345"/>
      <c r="F94" s="345"/>
      <c r="G94" s="345"/>
      <c r="H94" s="345"/>
      <c r="I94" s="347"/>
      <c r="J94" s="346"/>
      <c r="K94" s="346"/>
    </row>
    <row r="95" spans="2:11" ht="15" x14ac:dyDescent="0.2">
      <c r="B95" s="345" t="s">
        <v>264</v>
      </c>
      <c r="C95" s="357"/>
      <c r="D95" s="345"/>
      <c r="E95" s="345"/>
      <c r="F95" s="345"/>
      <c r="G95" s="345"/>
      <c r="H95" s="345"/>
      <c r="I95" s="347"/>
      <c r="J95" s="346"/>
      <c r="K95" s="346"/>
    </row>
    <row r="96" spans="2:11" ht="15" x14ac:dyDescent="0.2">
      <c r="B96" s="345" t="s">
        <v>320</v>
      </c>
      <c r="C96" s="345"/>
      <c r="D96" s="345"/>
      <c r="E96" s="345"/>
      <c r="F96" s="345"/>
      <c r="G96" s="345"/>
      <c r="H96" s="345"/>
      <c r="I96" s="347"/>
      <c r="J96" s="346"/>
      <c r="K96" s="346"/>
    </row>
    <row r="97" spans="2:11" ht="15.75" x14ac:dyDescent="0.25">
      <c r="B97" s="345" t="s">
        <v>344</v>
      </c>
      <c r="C97" s="358">
        <f>J108</f>
        <v>10937.429999999998</v>
      </c>
      <c r="D97" s="345" t="s">
        <v>99</v>
      </c>
      <c r="E97" s="345"/>
      <c r="F97" s="345"/>
      <c r="G97" s="345"/>
      <c r="H97" s="345"/>
      <c r="I97" s="347"/>
      <c r="J97" s="346"/>
      <c r="K97" s="346"/>
    </row>
    <row r="98" spans="2:11" ht="15.75" x14ac:dyDescent="0.25">
      <c r="B98" s="337" t="str">
        <f t="shared" ref="B98:G98" si="13">B81</f>
        <v>Vias Urbanas</v>
      </c>
      <c r="C98" s="359" t="str">
        <f t="shared" si="13"/>
        <v>Comprimento (m)</v>
      </c>
      <c r="D98" s="337" t="str">
        <f t="shared" si="13"/>
        <v>Largura (m)</v>
      </c>
      <c r="E98" s="337" t="str">
        <f t="shared" si="13"/>
        <v>Área  Bruta    (m²)</v>
      </c>
      <c r="F98" s="337" t="str">
        <f t="shared" si="13"/>
        <v>Espessura (m)</v>
      </c>
      <c r="G98" s="337" t="str">
        <f t="shared" si="13"/>
        <v>Volume (m3)</v>
      </c>
      <c r="H98" s="337" t="s">
        <v>324</v>
      </c>
      <c r="I98" s="360" t="s">
        <v>265</v>
      </c>
      <c r="J98" s="360" t="s">
        <v>338</v>
      </c>
      <c r="K98" s="346"/>
    </row>
    <row r="99" spans="2:11" ht="15.75" x14ac:dyDescent="0.25">
      <c r="B99" s="337" t="str">
        <f t="shared" ref="B99:E107" si="14">B82</f>
        <v>RUA AMAZONAS</v>
      </c>
      <c r="C99" s="359">
        <f t="shared" si="14"/>
        <v>245</v>
      </c>
      <c r="D99" s="336">
        <f t="shared" si="14"/>
        <v>6.6</v>
      </c>
      <c r="E99" s="360">
        <f t="shared" si="14"/>
        <v>1617</v>
      </c>
      <c r="F99" s="360">
        <v>0.15</v>
      </c>
      <c r="G99" s="336">
        <f t="shared" ref="G99:G107" si="15">G82</f>
        <v>242.54999999999998</v>
      </c>
      <c r="H99" s="336">
        <f>G99*1.5</f>
        <v>363.82499999999999</v>
      </c>
      <c r="I99" s="336">
        <v>8</v>
      </c>
      <c r="J99" s="336">
        <f>I99*H99</f>
        <v>2910.6</v>
      </c>
      <c r="K99" s="346"/>
    </row>
    <row r="100" spans="2:11" ht="15.75" x14ac:dyDescent="0.25">
      <c r="B100" s="337" t="str">
        <f t="shared" si="14"/>
        <v>RUA CORONEL JOSÉ   GONÇALVES</v>
      </c>
      <c r="C100" s="359">
        <f t="shared" si="14"/>
        <v>194</v>
      </c>
      <c r="D100" s="336">
        <f t="shared" si="14"/>
        <v>6.6</v>
      </c>
      <c r="E100" s="360">
        <f t="shared" si="14"/>
        <v>1280.3999999999999</v>
      </c>
      <c r="F100" s="360">
        <v>0.15</v>
      </c>
      <c r="G100" s="336">
        <f t="shared" si="15"/>
        <v>192.05999999999997</v>
      </c>
      <c r="H100" s="336">
        <f t="shared" ref="H100:H107" si="16">G100*1.5</f>
        <v>288.08999999999997</v>
      </c>
      <c r="I100" s="336">
        <v>8</v>
      </c>
      <c r="J100" s="336">
        <f t="shared" ref="J100:J107" si="17">I100*H100</f>
        <v>2304.7199999999998</v>
      </c>
      <c r="K100" s="346"/>
    </row>
    <row r="101" spans="2:11" ht="15.75" x14ac:dyDescent="0.25">
      <c r="B101" s="337" t="str">
        <f t="shared" si="14"/>
        <v>RUA QUATRO ( E0 - E1 )</v>
      </c>
      <c r="C101" s="359">
        <f t="shared" si="14"/>
        <v>50</v>
      </c>
      <c r="D101" s="336">
        <f t="shared" si="14"/>
        <v>5.88</v>
      </c>
      <c r="E101" s="360">
        <f t="shared" si="14"/>
        <v>294</v>
      </c>
      <c r="F101" s="360">
        <v>0.15</v>
      </c>
      <c r="G101" s="336">
        <f t="shared" si="15"/>
        <v>44.1</v>
      </c>
      <c r="H101" s="336">
        <f t="shared" si="16"/>
        <v>66.150000000000006</v>
      </c>
      <c r="I101" s="336">
        <v>8</v>
      </c>
      <c r="J101" s="336">
        <f t="shared" si="17"/>
        <v>529.20000000000005</v>
      </c>
      <c r="K101" s="346"/>
    </row>
    <row r="102" spans="2:11" ht="15.75" x14ac:dyDescent="0.25">
      <c r="B102" s="337" t="str">
        <f t="shared" si="14"/>
        <v>RUA QUATRO ( E1 - E2 )</v>
      </c>
      <c r="C102" s="359">
        <f t="shared" si="14"/>
        <v>50</v>
      </c>
      <c r="D102" s="336">
        <f t="shared" si="14"/>
        <v>5.91</v>
      </c>
      <c r="E102" s="360">
        <f t="shared" si="14"/>
        <v>295.5</v>
      </c>
      <c r="F102" s="360">
        <v>0.15</v>
      </c>
      <c r="G102" s="336">
        <f t="shared" si="15"/>
        <v>44.324999999999996</v>
      </c>
      <c r="H102" s="336">
        <f t="shared" si="16"/>
        <v>66.487499999999997</v>
      </c>
      <c r="I102" s="336">
        <v>8</v>
      </c>
      <c r="J102" s="336">
        <f t="shared" si="17"/>
        <v>531.9</v>
      </c>
      <c r="K102" s="346"/>
    </row>
    <row r="103" spans="2:11" ht="15.75" x14ac:dyDescent="0.25">
      <c r="B103" s="337" t="str">
        <f t="shared" si="14"/>
        <v>RUA QUATRO ( E2 - E3 )</v>
      </c>
      <c r="C103" s="359">
        <f t="shared" si="14"/>
        <v>50</v>
      </c>
      <c r="D103" s="336">
        <f t="shared" si="14"/>
        <v>5.9</v>
      </c>
      <c r="E103" s="360">
        <f t="shared" si="14"/>
        <v>295</v>
      </c>
      <c r="F103" s="360">
        <v>0.15</v>
      </c>
      <c r="G103" s="336">
        <f t="shared" si="15"/>
        <v>44.25</v>
      </c>
      <c r="H103" s="336">
        <f t="shared" si="16"/>
        <v>66.375</v>
      </c>
      <c r="I103" s="336">
        <v>8</v>
      </c>
      <c r="J103" s="336">
        <f t="shared" si="17"/>
        <v>531</v>
      </c>
      <c r="K103" s="346"/>
    </row>
    <row r="104" spans="2:11" ht="15.75" x14ac:dyDescent="0.25">
      <c r="B104" s="337" t="str">
        <f t="shared" si="14"/>
        <v>RUA QUATRO ( E3- E4 ) +28,12</v>
      </c>
      <c r="C104" s="359">
        <f t="shared" si="14"/>
        <v>78.12</v>
      </c>
      <c r="D104" s="336">
        <f t="shared" si="14"/>
        <v>6.6</v>
      </c>
      <c r="E104" s="360">
        <f t="shared" si="14"/>
        <v>515.59199999999998</v>
      </c>
      <c r="F104" s="360">
        <v>0.15</v>
      </c>
      <c r="G104" s="336">
        <f t="shared" si="15"/>
        <v>77.338799999999992</v>
      </c>
      <c r="H104" s="336">
        <f t="shared" si="16"/>
        <v>116.00819999999999</v>
      </c>
      <c r="I104" s="336">
        <v>8</v>
      </c>
      <c r="J104" s="336">
        <f t="shared" si="17"/>
        <v>928.0655999999999</v>
      </c>
      <c r="K104" s="380">
        <f>J104+J103+J102+J101</f>
        <v>2520.1656000000003</v>
      </c>
    </row>
    <row r="105" spans="2:11" ht="15.75" x14ac:dyDescent="0.25">
      <c r="B105" s="337" t="str">
        <f t="shared" si="14"/>
        <v>RUA DONA MESSIAS</v>
      </c>
      <c r="C105" s="359">
        <f t="shared" si="14"/>
        <v>142.63</v>
      </c>
      <c r="D105" s="336">
        <f t="shared" si="14"/>
        <v>6.6</v>
      </c>
      <c r="E105" s="360">
        <f t="shared" si="14"/>
        <v>941.35799999999995</v>
      </c>
      <c r="F105" s="360">
        <v>0.15</v>
      </c>
      <c r="G105" s="336">
        <f t="shared" si="15"/>
        <v>141.2037</v>
      </c>
      <c r="H105" s="336">
        <f t="shared" si="16"/>
        <v>211.80554999999998</v>
      </c>
      <c r="I105" s="336">
        <v>8</v>
      </c>
      <c r="J105" s="336">
        <f t="shared" si="17"/>
        <v>1694.4443999999999</v>
      </c>
      <c r="K105" s="346"/>
    </row>
    <row r="106" spans="2:11" ht="15.75" x14ac:dyDescent="0.25">
      <c r="B106" s="337" t="str">
        <f t="shared" si="14"/>
        <v>RUA SÃO GONÇALO -A</v>
      </c>
      <c r="C106" s="359">
        <f t="shared" si="14"/>
        <v>81</v>
      </c>
      <c r="D106" s="336">
        <f t="shared" si="14"/>
        <v>5.9</v>
      </c>
      <c r="E106" s="360">
        <f t="shared" si="14"/>
        <v>477.90000000000003</v>
      </c>
      <c r="F106" s="360">
        <v>0.15</v>
      </c>
      <c r="G106" s="336">
        <f t="shared" si="15"/>
        <v>71.685000000000002</v>
      </c>
      <c r="H106" s="336">
        <f t="shared" si="16"/>
        <v>107.5275</v>
      </c>
      <c r="I106" s="336">
        <v>8</v>
      </c>
      <c r="J106" s="336">
        <f t="shared" si="17"/>
        <v>860.22</v>
      </c>
      <c r="K106" s="346"/>
    </row>
    <row r="107" spans="2:11" ht="15.75" x14ac:dyDescent="0.25">
      <c r="B107" s="337" t="str">
        <f t="shared" si="14"/>
        <v>RUA SÃO GONÇALO -B</v>
      </c>
      <c r="C107" s="359">
        <f t="shared" si="14"/>
        <v>58</v>
      </c>
      <c r="D107" s="336">
        <f t="shared" si="14"/>
        <v>6.2</v>
      </c>
      <c r="E107" s="360">
        <f t="shared" si="14"/>
        <v>359.6</v>
      </c>
      <c r="F107" s="360">
        <v>0.15</v>
      </c>
      <c r="G107" s="336">
        <f t="shared" si="15"/>
        <v>53.940000000000005</v>
      </c>
      <c r="H107" s="336">
        <f t="shared" si="16"/>
        <v>80.910000000000011</v>
      </c>
      <c r="I107" s="336">
        <v>8</v>
      </c>
      <c r="J107" s="336">
        <f t="shared" si="17"/>
        <v>647.28000000000009</v>
      </c>
      <c r="K107" s="346"/>
    </row>
    <row r="108" spans="2:11" ht="15.75" x14ac:dyDescent="0.25">
      <c r="B108" s="337"/>
      <c r="C108" s="359">
        <f>SUM(C99:C107)</f>
        <v>948.75</v>
      </c>
      <c r="D108" s="368"/>
      <c r="E108" s="360">
        <f>SUM(E99:E107)</f>
        <v>6076.3499999999995</v>
      </c>
      <c r="F108" s="368"/>
      <c r="G108" s="369">
        <f>SUM(G99:G107)</f>
        <v>911.4525000000001</v>
      </c>
      <c r="H108" s="369">
        <f>SUM(H99:H107)</f>
        <v>1367.1787499999998</v>
      </c>
      <c r="I108" s="369"/>
      <c r="J108" s="369">
        <f>SUM(J99:J107)</f>
        <v>10937.429999999998</v>
      </c>
      <c r="K108" s="346"/>
    </row>
    <row r="109" spans="2:11" ht="15.75" x14ac:dyDescent="0.25">
      <c r="B109" s="306" t="s">
        <v>101</v>
      </c>
      <c r="C109" s="345"/>
      <c r="D109" s="345"/>
      <c r="E109" s="345"/>
      <c r="F109" s="345"/>
      <c r="G109" s="345"/>
      <c r="H109" s="345"/>
      <c r="I109" s="347"/>
      <c r="J109" s="346"/>
      <c r="K109" s="346"/>
    </row>
    <row r="110" spans="2:11" ht="15" x14ac:dyDescent="0.2">
      <c r="B110" s="345" t="s">
        <v>343</v>
      </c>
      <c r="C110" s="345"/>
      <c r="D110" s="345"/>
      <c r="E110" s="345"/>
      <c r="F110" s="345"/>
      <c r="G110" s="345"/>
      <c r="H110" s="345"/>
      <c r="I110" s="347"/>
      <c r="J110" s="346"/>
      <c r="K110" s="346"/>
    </row>
    <row r="111" spans="2:11" ht="15" x14ac:dyDescent="0.2">
      <c r="B111" s="345" t="s">
        <v>264</v>
      </c>
      <c r="C111" s="357"/>
      <c r="D111" s="345"/>
      <c r="E111" s="345"/>
      <c r="F111" s="345"/>
      <c r="G111" s="345"/>
      <c r="H111" s="345"/>
      <c r="I111" s="347"/>
      <c r="J111" s="346"/>
      <c r="K111" s="346"/>
    </row>
    <row r="112" spans="2:11" ht="15.75" x14ac:dyDescent="0.25">
      <c r="B112" s="345" t="s">
        <v>345</v>
      </c>
      <c r="C112" s="358">
        <f>C80</f>
        <v>911.4525000000001</v>
      </c>
      <c r="D112" s="345" t="s">
        <v>96</v>
      </c>
      <c r="E112" s="345"/>
      <c r="F112" s="345"/>
      <c r="G112" s="345"/>
      <c r="H112" s="345"/>
      <c r="I112" s="347"/>
      <c r="J112" s="346"/>
      <c r="K112" s="346"/>
    </row>
    <row r="113" spans="2:11" ht="15.75" x14ac:dyDescent="0.25">
      <c r="B113" s="335" t="str">
        <f t="shared" ref="B113:G113" si="18">B98</f>
        <v>Vias Urbanas</v>
      </c>
      <c r="C113" s="359" t="str">
        <f t="shared" si="18"/>
        <v>Comprimento (m)</v>
      </c>
      <c r="D113" s="365" t="str">
        <f t="shared" si="18"/>
        <v>Largura (m)</v>
      </c>
      <c r="E113" s="365" t="str">
        <f t="shared" si="18"/>
        <v>Área  Bruta    (m²)</v>
      </c>
      <c r="F113" s="365" t="str">
        <f t="shared" si="18"/>
        <v>Espessura (m)</v>
      </c>
      <c r="G113" s="365" t="str">
        <f t="shared" si="18"/>
        <v>Volume (m3)</v>
      </c>
      <c r="H113" s="381"/>
      <c r="I113" s="346"/>
      <c r="J113" s="346"/>
      <c r="K113" s="346"/>
    </row>
    <row r="114" spans="2:11" ht="15.75" x14ac:dyDescent="0.25">
      <c r="B114" s="335" t="str">
        <f t="shared" ref="B114:E122" si="19">B99</f>
        <v>RUA AMAZONAS</v>
      </c>
      <c r="C114" s="359">
        <f t="shared" si="19"/>
        <v>245</v>
      </c>
      <c r="D114" s="369">
        <f t="shared" si="19"/>
        <v>6.6</v>
      </c>
      <c r="E114" s="365">
        <f t="shared" si="19"/>
        <v>1617</v>
      </c>
      <c r="F114" s="365">
        <v>0.15</v>
      </c>
      <c r="G114" s="369">
        <f t="shared" ref="G114:G122" si="20">G99</f>
        <v>242.54999999999998</v>
      </c>
      <c r="H114" s="381"/>
      <c r="I114" s="346"/>
      <c r="J114" s="346"/>
      <c r="K114" s="346"/>
    </row>
    <row r="115" spans="2:11" ht="15.75" x14ac:dyDescent="0.25">
      <c r="B115" s="335" t="str">
        <f t="shared" si="19"/>
        <v>RUA CORONEL JOSÉ   GONÇALVES</v>
      </c>
      <c r="C115" s="359">
        <f t="shared" si="19"/>
        <v>194</v>
      </c>
      <c r="D115" s="369">
        <f t="shared" si="19"/>
        <v>6.6</v>
      </c>
      <c r="E115" s="365">
        <f t="shared" si="19"/>
        <v>1280.3999999999999</v>
      </c>
      <c r="F115" s="365">
        <v>0.15</v>
      </c>
      <c r="G115" s="369">
        <f t="shared" si="20"/>
        <v>192.05999999999997</v>
      </c>
      <c r="H115" s="381"/>
      <c r="I115" s="346"/>
      <c r="J115" s="346"/>
      <c r="K115" s="346"/>
    </row>
    <row r="116" spans="2:11" ht="15.75" x14ac:dyDescent="0.25">
      <c r="B116" s="335" t="str">
        <f t="shared" si="19"/>
        <v>RUA QUATRO ( E0 - E1 )</v>
      </c>
      <c r="C116" s="359">
        <f t="shared" si="19"/>
        <v>50</v>
      </c>
      <c r="D116" s="369">
        <f t="shared" si="19"/>
        <v>5.88</v>
      </c>
      <c r="E116" s="365">
        <f t="shared" si="19"/>
        <v>294</v>
      </c>
      <c r="F116" s="365">
        <v>0.15</v>
      </c>
      <c r="G116" s="369">
        <f t="shared" si="20"/>
        <v>44.1</v>
      </c>
      <c r="H116" s="381"/>
      <c r="I116" s="346"/>
      <c r="J116" s="346"/>
      <c r="K116" s="346"/>
    </row>
    <row r="117" spans="2:11" ht="15.75" x14ac:dyDescent="0.25">
      <c r="B117" s="335" t="str">
        <f t="shared" si="19"/>
        <v>RUA QUATRO ( E1 - E2 )</v>
      </c>
      <c r="C117" s="359">
        <f t="shared" si="19"/>
        <v>50</v>
      </c>
      <c r="D117" s="369">
        <f t="shared" si="19"/>
        <v>5.91</v>
      </c>
      <c r="E117" s="365">
        <f t="shared" si="19"/>
        <v>295.5</v>
      </c>
      <c r="F117" s="365">
        <v>0.15</v>
      </c>
      <c r="G117" s="369">
        <f t="shared" si="20"/>
        <v>44.324999999999996</v>
      </c>
      <c r="H117" s="381"/>
      <c r="I117" s="346"/>
      <c r="J117" s="346"/>
      <c r="K117" s="346"/>
    </row>
    <row r="118" spans="2:11" ht="15.75" x14ac:dyDescent="0.25">
      <c r="B118" s="335" t="str">
        <f t="shared" si="19"/>
        <v>RUA QUATRO ( E2 - E3 )</v>
      </c>
      <c r="C118" s="359">
        <f t="shared" si="19"/>
        <v>50</v>
      </c>
      <c r="D118" s="369">
        <f t="shared" si="19"/>
        <v>5.9</v>
      </c>
      <c r="E118" s="365">
        <f t="shared" si="19"/>
        <v>295</v>
      </c>
      <c r="F118" s="365">
        <v>0.15</v>
      </c>
      <c r="G118" s="369">
        <f t="shared" si="20"/>
        <v>44.25</v>
      </c>
      <c r="H118" s="381"/>
      <c r="I118" s="346"/>
      <c r="J118" s="346"/>
      <c r="K118" s="346"/>
    </row>
    <row r="119" spans="2:11" ht="15.75" x14ac:dyDescent="0.25">
      <c r="B119" s="335" t="str">
        <f t="shared" si="19"/>
        <v>RUA QUATRO ( E3- E4 ) +28,12</v>
      </c>
      <c r="C119" s="359">
        <f t="shared" si="19"/>
        <v>78.12</v>
      </c>
      <c r="D119" s="369">
        <f t="shared" si="19"/>
        <v>6.6</v>
      </c>
      <c r="E119" s="365">
        <f t="shared" si="19"/>
        <v>515.59199999999998</v>
      </c>
      <c r="F119" s="365">
        <v>0.15</v>
      </c>
      <c r="G119" s="369">
        <f t="shared" si="20"/>
        <v>77.338799999999992</v>
      </c>
      <c r="H119" s="381"/>
      <c r="I119" s="346"/>
      <c r="J119" s="346"/>
      <c r="K119" s="346"/>
    </row>
    <row r="120" spans="2:11" ht="15.75" x14ac:dyDescent="0.25">
      <c r="B120" s="335" t="str">
        <f t="shared" si="19"/>
        <v>RUA DONA MESSIAS</v>
      </c>
      <c r="C120" s="359">
        <f t="shared" si="19"/>
        <v>142.63</v>
      </c>
      <c r="D120" s="369">
        <f t="shared" si="19"/>
        <v>6.6</v>
      </c>
      <c r="E120" s="365">
        <f t="shared" si="19"/>
        <v>941.35799999999995</v>
      </c>
      <c r="F120" s="365">
        <v>0.15</v>
      </c>
      <c r="G120" s="369">
        <f t="shared" si="20"/>
        <v>141.2037</v>
      </c>
      <c r="H120" s="381"/>
      <c r="I120" s="346"/>
      <c r="J120" s="346"/>
      <c r="K120" s="346"/>
    </row>
    <row r="121" spans="2:11" ht="15.75" x14ac:dyDescent="0.25">
      <c r="B121" s="335" t="str">
        <f t="shared" si="19"/>
        <v>RUA SÃO GONÇALO -A</v>
      </c>
      <c r="C121" s="359">
        <f t="shared" si="19"/>
        <v>81</v>
      </c>
      <c r="D121" s="369">
        <f t="shared" si="19"/>
        <v>5.9</v>
      </c>
      <c r="E121" s="365">
        <f t="shared" si="19"/>
        <v>477.90000000000003</v>
      </c>
      <c r="F121" s="365">
        <v>0.15</v>
      </c>
      <c r="G121" s="369">
        <f t="shared" si="20"/>
        <v>71.685000000000002</v>
      </c>
      <c r="H121" s="381"/>
      <c r="I121" s="346"/>
      <c r="J121" s="346"/>
      <c r="K121" s="346"/>
    </row>
    <row r="122" spans="2:11" ht="15.75" x14ac:dyDescent="0.25">
      <c r="B122" s="335" t="str">
        <f t="shared" si="19"/>
        <v>RUA SÃO GONÇALO -B</v>
      </c>
      <c r="C122" s="359">
        <f t="shared" si="19"/>
        <v>58</v>
      </c>
      <c r="D122" s="369">
        <f t="shared" si="19"/>
        <v>6.2</v>
      </c>
      <c r="E122" s="365">
        <f t="shared" si="19"/>
        <v>359.6</v>
      </c>
      <c r="F122" s="365">
        <v>0.15</v>
      </c>
      <c r="G122" s="369">
        <f t="shared" si="20"/>
        <v>53.940000000000005</v>
      </c>
      <c r="H122" s="381"/>
      <c r="I122" s="346"/>
      <c r="J122" s="346"/>
      <c r="K122" s="346"/>
    </row>
    <row r="123" spans="2:11" ht="15.75" x14ac:dyDescent="0.25">
      <c r="B123" s="335"/>
      <c r="C123" s="359">
        <f>SUM(C114:C122)</f>
        <v>948.75</v>
      </c>
      <c r="D123" s="365"/>
      <c r="E123" s="360">
        <f>SUM(E114:E122)</f>
        <v>6076.3499999999995</v>
      </c>
      <c r="F123" s="365"/>
      <c r="G123" s="369">
        <f>SUM(G114:G122)</f>
        <v>911.4525000000001</v>
      </c>
      <c r="H123" s="381"/>
      <c r="I123" s="346"/>
      <c r="J123" s="346"/>
      <c r="K123" s="346"/>
    </row>
    <row r="124" spans="2:11" ht="15.75" x14ac:dyDescent="0.25">
      <c r="B124" s="374" t="s">
        <v>321</v>
      </c>
      <c r="C124" s="349"/>
      <c r="D124" s="381"/>
      <c r="E124" s="361"/>
      <c r="F124" s="381"/>
      <c r="G124" s="381"/>
      <c r="H124" s="381"/>
      <c r="I124" s="346"/>
      <c r="J124" s="346"/>
      <c r="K124" s="346"/>
    </row>
    <row r="125" spans="2:11" ht="15.75" x14ac:dyDescent="0.25">
      <c r="B125" s="306" t="s">
        <v>102</v>
      </c>
      <c r="C125" s="345"/>
      <c r="D125" s="345"/>
      <c r="E125" s="345"/>
      <c r="F125" s="345"/>
      <c r="G125" s="345"/>
      <c r="H125" s="345"/>
      <c r="I125" s="347"/>
      <c r="J125" s="346"/>
      <c r="K125" s="346"/>
    </row>
    <row r="126" spans="2:11" ht="15.75" x14ac:dyDescent="0.25">
      <c r="B126" s="306"/>
      <c r="C126" s="345"/>
      <c r="D126" s="345"/>
      <c r="E126" s="345"/>
      <c r="F126" s="345"/>
      <c r="G126" s="345"/>
      <c r="H126" s="345"/>
      <c r="I126" s="347"/>
      <c r="J126" s="346"/>
      <c r="K126" s="346"/>
    </row>
    <row r="127" spans="2:11" ht="15.75" x14ac:dyDescent="0.25">
      <c r="B127" s="306" t="s">
        <v>103</v>
      </c>
      <c r="C127" s="346"/>
      <c r="D127" s="346"/>
      <c r="E127" s="346"/>
      <c r="F127" s="346"/>
      <c r="G127" s="346"/>
      <c r="H127" s="346"/>
      <c r="I127" s="346"/>
      <c r="J127" s="346"/>
      <c r="K127" s="346"/>
    </row>
    <row r="128" spans="2:11" ht="15.75" x14ac:dyDescent="0.2">
      <c r="B128" s="321" t="s">
        <v>91</v>
      </c>
      <c r="C128" s="330" t="str">
        <f>C65</f>
        <v>Comprimento (m)</v>
      </c>
      <c r="D128" s="330" t="str">
        <f>D65</f>
        <v>Largura (m)</v>
      </c>
      <c r="E128" s="331" t="str">
        <f>E65</f>
        <v>Área  Bruta    (m²)</v>
      </c>
      <c r="F128" s="475" t="str">
        <f>F15</f>
        <v>OBS</v>
      </c>
      <c r="G128" s="471"/>
      <c r="H128" s="346"/>
      <c r="I128" s="346"/>
      <c r="J128" s="346"/>
      <c r="K128" s="346"/>
    </row>
    <row r="129" spans="2:11" ht="15.75" x14ac:dyDescent="0.2">
      <c r="B129" s="321" t="str">
        <f t="shared" ref="B129:E137" si="21">B114</f>
        <v>RUA AMAZONAS</v>
      </c>
      <c r="C129" s="370">
        <f t="shared" si="21"/>
        <v>245</v>
      </c>
      <c r="D129" s="332">
        <f t="shared" si="21"/>
        <v>6.6</v>
      </c>
      <c r="E129" s="331">
        <f t="shared" si="21"/>
        <v>1617</v>
      </c>
      <c r="F129" s="475"/>
      <c r="G129" s="476"/>
      <c r="H129" s="346"/>
      <c r="I129" s="346"/>
      <c r="J129" s="346"/>
      <c r="K129" s="346"/>
    </row>
    <row r="130" spans="2:11" ht="15.75" x14ac:dyDescent="0.2">
      <c r="B130" s="321" t="str">
        <f t="shared" si="21"/>
        <v>RUA CORONEL JOSÉ   GONÇALVES</v>
      </c>
      <c r="C130" s="370">
        <f t="shared" si="21"/>
        <v>194</v>
      </c>
      <c r="D130" s="332">
        <f t="shared" si="21"/>
        <v>6.6</v>
      </c>
      <c r="E130" s="331">
        <f t="shared" si="21"/>
        <v>1280.3999999999999</v>
      </c>
      <c r="F130" s="475"/>
      <c r="G130" s="476"/>
      <c r="H130" s="346"/>
      <c r="I130" s="346"/>
      <c r="J130" s="346"/>
      <c r="K130" s="346"/>
    </row>
    <row r="131" spans="2:11" ht="15.75" x14ac:dyDescent="0.2">
      <c r="B131" s="321" t="str">
        <f t="shared" si="21"/>
        <v>RUA QUATRO ( E0 - E1 )</v>
      </c>
      <c r="C131" s="370">
        <f t="shared" si="21"/>
        <v>50</v>
      </c>
      <c r="D131" s="332">
        <f t="shared" si="21"/>
        <v>5.88</v>
      </c>
      <c r="E131" s="331">
        <f t="shared" si="21"/>
        <v>294</v>
      </c>
      <c r="F131" s="475" t="str">
        <f>F18</f>
        <v>LARGURA MEDIA (5,82+5.72+6,16+5,80)/4=5,88</v>
      </c>
      <c r="G131" s="476"/>
      <c r="H131" s="346"/>
      <c r="I131" s="346"/>
      <c r="J131" s="346"/>
      <c r="K131" s="346"/>
    </row>
    <row r="132" spans="2:11" ht="15.75" x14ac:dyDescent="0.2">
      <c r="B132" s="321" t="str">
        <f t="shared" si="21"/>
        <v>RUA QUATRO ( E1 - E2 )</v>
      </c>
      <c r="C132" s="370">
        <f t="shared" si="21"/>
        <v>50</v>
      </c>
      <c r="D132" s="332">
        <f t="shared" si="21"/>
        <v>5.91</v>
      </c>
      <c r="E132" s="331">
        <f t="shared" si="21"/>
        <v>295.5</v>
      </c>
      <c r="F132" s="475" t="str">
        <f>F19</f>
        <v>LARGURA MEDIA (5,80+5,80+5,80+6,23)/4=5,91</v>
      </c>
      <c r="G132" s="476"/>
      <c r="H132" s="346"/>
      <c r="I132" s="346"/>
      <c r="J132" s="346"/>
      <c r="K132" s="346"/>
    </row>
    <row r="133" spans="2:11" ht="15.75" x14ac:dyDescent="0.2">
      <c r="B133" s="321" t="str">
        <f t="shared" si="21"/>
        <v>RUA QUATRO ( E2 - E3 )</v>
      </c>
      <c r="C133" s="370">
        <f t="shared" si="21"/>
        <v>50</v>
      </c>
      <c r="D133" s="332">
        <f t="shared" si="21"/>
        <v>5.9</v>
      </c>
      <c r="E133" s="331">
        <f t="shared" si="21"/>
        <v>295</v>
      </c>
      <c r="F133" s="475" t="str">
        <f>F20</f>
        <v>LARGURA MEDIA (6.23+5.75+5.0+6,60)/4=5,90</v>
      </c>
      <c r="G133" s="476"/>
      <c r="H133" s="346"/>
      <c r="I133" s="346"/>
      <c r="J133" s="346"/>
      <c r="K133" s="346"/>
    </row>
    <row r="134" spans="2:11" ht="15.75" x14ac:dyDescent="0.2">
      <c r="B134" s="321" t="str">
        <f t="shared" si="21"/>
        <v>RUA QUATRO ( E3- E4 ) +28,12</v>
      </c>
      <c r="C134" s="370">
        <f t="shared" si="21"/>
        <v>78.12</v>
      </c>
      <c r="D134" s="332">
        <f t="shared" si="21"/>
        <v>6.6</v>
      </c>
      <c r="E134" s="331">
        <f t="shared" si="21"/>
        <v>515.59199999999998</v>
      </c>
      <c r="F134" s="475"/>
      <c r="G134" s="476"/>
      <c r="H134" s="346"/>
      <c r="I134" s="346"/>
      <c r="J134" s="346"/>
      <c r="K134" s="346"/>
    </row>
    <row r="135" spans="2:11" ht="15.75" x14ac:dyDescent="0.2">
      <c r="B135" s="321" t="str">
        <f t="shared" si="21"/>
        <v>RUA DONA MESSIAS</v>
      </c>
      <c r="C135" s="370">
        <f t="shared" si="21"/>
        <v>142.63</v>
      </c>
      <c r="D135" s="332">
        <f t="shared" si="21"/>
        <v>6.6</v>
      </c>
      <c r="E135" s="331">
        <f t="shared" si="21"/>
        <v>941.35799999999995</v>
      </c>
      <c r="F135" s="475"/>
      <c r="G135" s="476"/>
      <c r="H135" s="346"/>
      <c r="I135" s="346"/>
      <c r="J135" s="346"/>
      <c r="K135" s="346"/>
    </row>
    <row r="136" spans="2:11" ht="15.75" x14ac:dyDescent="0.2">
      <c r="B136" s="321" t="str">
        <f t="shared" si="21"/>
        <v>RUA SÃO GONÇALO -A</v>
      </c>
      <c r="C136" s="370">
        <f t="shared" si="21"/>
        <v>81</v>
      </c>
      <c r="D136" s="332">
        <f t="shared" si="21"/>
        <v>5.9</v>
      </c>
      <c r="E136" s="331">
        <f t="shared" si="21"/>
        <v>477.90000000000003</v>
      </c>
      <c r="F136" s="475" t="str">
        <f>F23</f>
        <v>LARGURA MEDIA (7.00+5.60+5.10)/3=5,90</v>
      </c>
      <c r="G136" s="476"/>
      <c r="H136" s="346"/>
      <c r="I136" s="346"/>
      <c r="J136" s="346"/>
      <c r="K136" s="346"/>
    </row>
    <row r="137" spans="2:11" ht="15.75" x14ac:dyDescent="0.2">
      <c r="B137" s="321" t="str">
        <f t="shared" si="21"/>
        <v>RUA SÃO GONÇALO -B</v>
      </c>
      <c r="C137" s="370">
        <f t="shared" si="21"/>
        <v>58</v>
      </c>
      <c r="D137" s="332">
        <f t="shared" si="21"/>
        <v>6.2</v>
      </c>
      <c r="E137" s="331">
        <f t="shared" si="21"/>
        <v>359.6</v>
      </c>
      <c r="F137" s="475" t="str">
        <f>F24</f>
        <v>LARGURA MEDIA (6.20+4.90+7,50)/3=6.20</v>
      </c>
      <c r="G137" s="476"/>
      <c r="H137" s="346"/>
      <c r="I137" s="346"/>
      <c r="J137" s="346"/>
      <c r="K137" s="346"/>
    </row>
    <row r="138" spans="2:11" ht="15.75" x14ac:dyDescent="0.25">
      <c r="B138" s="335" t="s">
        <v>94</v>
      </c>
      <c r="C138" s="359">
        <f>SUM(C129:C137)</f>
        <v>948.75</v>
      </c>
      <c r="D138" s="337"/>
      <c r="E138" s="338">
        <f>SUM(E129:E137)</f>
        <v>6076.3499999999995</v>
      </c>
      <c r="F138" s="450"/>
      <c r="G138" s="451"/>
      <c r="H138" s="346"/>
      <c r="I138" s="346"/>
      <c r="J138" s="346"/>
      <c r="K138" s="346"/>
    </row>
    <row r="139" spans="2:11" ht="15.75" x14ac:dyDescent="0.25">
      <c r="B139" s="374"/>
      <c r="C139" s="375"/>
      <c r="D139" s="351"/>
      <c r="E139" s="351"/>
      <c r="F139" s="351"/>
      <c r="G139" s="377"/>
      <c r="H139" s="346"/>
      <c r="I139" s="346"/>
      <c r="J139" s="346"/>
      <c r="K139" s="346"/>
    </row>
    <row r="140" spans="2:11" ht="15.75" x14ac:dyDescent="0.25">
      <c r="B140" s="374" t="s">
        <v>104</v>
      </c>
      <c r="C140" s="374" t="s">
        <v>298</v>
      </c>
      <c r="D140" s="351" t="s">
        <v>299</v>
      </c>
      <c r="E140" s="351"/>
      <c r="F140" s="351"/>
      <c r="G140" s="377"/>
      <c r="H140" s="346"/>
      <c r="I140" s="346"/>
      <c r="J140" s="346"/>
      <c r="K140" s="346"/>
    </row>
    <row r="141" spans="2:11" ht="15" x14ac:dyDescent="0.2">
      <c r="B141" s="382" t="s">
        <v>346</v>
      </c>
      <c r="C141" s="383"/>
      <c r="D141" s="353"/>
      <c r="E141" s="353"/>
      <c r="F141" s="353"/>
      <c r="G141" s="384"/>
      <c r="H141" s="384"/>
      <c r="I141" s="378"/>
      <c r="J141" s="346"/>
      <c r="K141" s="346"/>
    </row>
    <row r="142" spans="2:11" ht="15" x14ac:dyDescent="0.2">
      <c r="B142" s="382" t="s">
        <v>347</v>
      </c>
      <c r="C142" s="382">
        <v>7.859</v>
      </c>
      <c r="D142" s="353"/>
      <c r="E142" s="353"/>
      <c r="F142" s="353"/>
      <c r="G142" s="384"/>
      <c r="H142" s="384"/>
      <c r="I142" s="378"/>
      <c r="J142" s="346"/>
      <c r="K142" s="346"/>
    </row>
    <row r="143" spans="2:11" ht="15.75" x14ac:dyDescent="0.25">
      <c r="B143" s="382" t="s">
        <v>350</v>
      </c>
      <c r="C143" s="383"/>
      <c r="D143" s="385">
        <f>J155</f>
        <v>4032.26586</v>
      </c>
      <c r="E143" s="353" t="s">
        <v>105</v>
      </c>
      <c r="F143" s="353"/>
      <c r="G143" s="384"/>
      <c r="H143" s="384"/>
      <c r="I143" s="378"/>
      <c r="J143" s="346"/>
      <c r="K143" s="346"/>
    </row>
    <row r="144" spans="2:11" ht="15.75" x14ac:dyDescent="0.25">
      <c r="B144" s="382"/>
      <c r="C144" s="383"/>
      <c r="D144" s="385"/>
      <c r="E144" s="353"/>
      <c r="F144" s="353"/>
      <c r="G144" s="384"/>
      <c r="H144" s="384"/>
      <c r="I144" s="378"/>
      <c r="J144" s="346"/>
      <c r="K144" s="346"/>
    </row>
    <row r="145" spans="2:11" ht="15.75" x14ac:dyDescent="0.25">
      <c r="B145" s="335" t="str">
        <f t="shared" ref="B145:E146" si="22">B128</f>
        <v>Vias Urbanas</v>
      </c>
      <c r="C145" s="360" t="str">
        <f t="shared" si="22"/>
        <v>Comprimento (m)</v>
      </c>
      <c r="D145" s="386" t="str">
        <f t="shared" si="22"/>
        <v>Largura (m)</v>
      </c>
      <c r="E145" s="337" t="str">
        <f t="shared" si="22"/>
        <v>Área  Bruta    (m²)</v>
      </c>
      <c r="F145" s="360" t="s">
        <v>348</v>
      </c>
      <c r="G145" s="387" t="s">
        <v>270</v>
      </c>
      <c r="H145" s="388" t="s">
        <v>349</v>
      </c>
      <c r="I145" s="388" t="s">
        <v>271</v>
      </c>
      <c r="J145" s="388" t="s">
        <v>272</v>
      </c>
      <c r="K145" s="346"/>
    </row>
    <row r="146" spans="2:11" ht="15.75" x14ac:dyDescent="0.25">
      <c r="B146" s="335" t="str">
        <f t="shared" si="22"/>
        <v>RUA AMAZONAS</v>
      </c>
      <c r="C146" s="359">
        <f t="shared" si="22"/>
        <v>245</v>
      </c>
      <c r="D146" s="332">
        <f t="shared" si="22"/>
        <v>6.6</v>
      </c>
      <c r="E146" s="360">
        <f t="shared" si="22"/>
        <v>1617</v>
      </c>
      <c r="F146" s="360">
        <v>1.2</v>
      </c>
      <c r="G146" s="387">
        <f>F146*E146</f>
        <v>1940.3999999999999</v>
      </c>
      <c r="H146" s="359">
        <f>G146/1000</f>
        <v>1.9403999999999999</v>
      </c>
      <c r="I146" s="387">
        <v>553</v>
      </c>
      <c r="J146" s="366">
        <f>I146*H146</f>
        <v>1073.0411999999999</v>
      </c>
      <c r="K146" s="346"/>
    </row>
    <row r="147" spans="2:11" ht="15.75" x14ac:dyDescent="0.25">
      <c r="B147" s="335" t="str">
        <f t="shared" ref="B147:E154" si="23">B130</f>
        <v>RUA CORONEL JOSÉ   GONÇALVES</v>
      </c>
      <c r="C147" s="359">
        <f t="shared" si="23"/>
        <v>194</v>
      </c>
      <c r="D147" s="332">
        <f t="shared" si="23"/>
        <v>6.6</v>
      </c>
      <c r="E147" s="360">
        <f t="shared" si="23"/>
        <v>1280.3999999999999</v>
      </c>
      <c r="F147" s="360">
        <v>1.2</v>
      </c>
      <c r="G147" s="387">
        <f t="shared" ref="G147:G154" si="24">F147*E147</f>
        <v>1536.4799999999998</v>
      </c>
      <c r="H147" s="359">
        <f t="shared" ref="H147:H154" si="25">G147/1000</f>
        <v>1.5364799999999998</v>
      </c>
      <c r="I147" s="387">
        <v>553</v>
      </c>
      <c r="J147" s="366">
        <f t="shared" ref="J147:J154" si="26">I147*H147</f>
        <v>849.67343999999991</v>
      </c>
      <c r="K147" s="346"/>
    </row>
    <row r="148" spans="2:11" ht="15.75" x14ac:dyDescent="0.25">
      <c r="B148" s="335" t="str">
        <f t="shared" si="23"/>
        <v>RUA QUATRO ( E0 - E1 )</v>
      </c>
      <c r="C148" s="359">
        <f t="shared" si="23"/>
        <v>50</v>
      </c>
      <c r="D148" s="332">
        <f t="shared" si="23"/>
        <v>5.88</v>
      </c>
      <c r="E148" s="360">
        <f t="shared" si="23"/>
        <v>294</v>
      </c>
      <c r="F148" s="360">
        <v>1.2</v>
      </c>
      <c r="G148" s="387">
        <f t="shared" si="24"/>
        <v>352.8</v>
      </c>
      <c r="H148" s="359">
        <f t="shared" si="25"/>
        <v>0.3528</v>
      </c>
      <c r="I148" s="387">
        <v>553</v>
      </c>
      <c r="J148" s="366">
        <f t="shared" si="26"/>
        <v>195.0984</v>
      </c>
      <c r="K148" s="346"/>
    </row>
    <row r="149" spans="2:11" ht="15.75" x14ac:dyDescent="0.25">
      <c r="B149" s="335" t="str">
        <f t="shared" si="23"/>
        <v>RUA QUATRO ( E1 - E2 )</v>
      </c>
      <c r="C149" s="359">
        <f t="shared" si="23"/>
        <v>50</v>
      </c>
      <c r="D149" s="332">
        <f t="shared" si="23"/>
        <v>5.91</v>
      </c>
      <c r="E149" s="360">
        <f t="shared" si="23"/>
        <v>295.5</v>
      </c>
      <c r="F149" s="360">
        <v>1.2</v>
      </c>
      <c r="G149" s="387">
        <f t="shared" si="24"/>
        <v>354.59999999999997</v>
      </c>
      <c r="H149" s="359">
        <f t="shared" si="25"/>
        <v>0.35459999999999997</v>
      </c>
      <c r="I149" s="387">
        <v>553</v>
      </c>
      <c r="J149" s="366">
        <f t="shared" si="26"/>
        <v>196.09379999999999</v>
      </c>
      <c r="K149" s="346"/>
    </row>
    <row r="150" spans="2:11" ht="15.75" x14ac:dyDescent="0.25">
      <c r="B150" s="335" t="str">
        <f t="shared" si="23"/>
        <v>RUA QUATRO ( E2 - E3 )</v>
      </c>
      <c r="C150" s="359">
        <f t="shared" si="23"/>
        <v>50</v>
      </c>
      <c r="D150" s="332">
        <f t="shared" si="23"/>
        <v>5.9</v>
      </c>
      <c r="E150" s="360">
        <f t="shared" si="23"/>
        <v>295</v>
      </c>
      <c r="F150" s="360">
        <v>1.2</v>
      </c>
      <c r="G150" s="387">
        <f t="shared" si="24"/>
        <v>354</v>
      </c>
      <c r="H150" s="359">
        <f t="shared" si="25"/>
        <v>0.35399999999999998</v>
      </c>
      <c r="I150" s="387">
        <v>553</v>
      </c>
      <c r="J150" s="366">
        <f t="shared" si="26"/>
        <v>195.762</v>
      </c>
      <c r="K150" s="346"/>
    </row>
    <row r="151" spans="2:11" ht="15.75" x14ac:dyDescent="0.25">
      <c r="B151" s="335" t="str">
        <f t="shared" si="23"/>
        <v>RUA QUATRO ( E3- E4 ) +28,12</v>
      </c>
      <c r="C151" s="359">
        <f t="shared" si="23"/>
        <v>78.12</v>
      </c>
      <c r="D151" s="332">
        <f t="shared" si="23"/>
        <v>6.6</v>
      </c>
      <c r="E151" s="360">
        <f t="shared" si="23"/>
        <v>515.59199999999998</v>
      </c>
      <c r="F151" s="360">
        <v>1.2</v>
      </c>
      <c r="G151" s="387">
        <f t="shared" si="24"/>
        <v>618.71039999999994</v>
      </c>
      <c r="H151" s="359">
        <f t="shared" si="25"/>
        <v>0.61871039999999988</v>
      </c>
      <c r="I151" s="387">
        <v>553</v>
      </c>
      <c r="J151" s="366">
        <f t="shared" si="26"/>
        <v>342.14685119999996</v>
      </c>
      <c r="K151" s="389">
        <f>J151+J150+J149+J148</f>
        <v>929.10105119999992</v>
      </c>
    </row>
    <row r="152" spans="2:11" ht="15.75" x14ac:dyDescent="0.25">
      <c r="B152" s="335" t="str">
        <f t="shared" si="23"/>
        <v>RUA DONA MESSIAS</v>
      </c>
      <c r="C152" s="359">
        <f t="shared" si="23"/>
        <v>142.63</v>
      </c>
      <c r="D152" s="332">
        <f t="shared" si="23"/>
        <v>6.6</v>
      </c>
      <c r="E152" s="360">
        <f t="shared" si="23"/>
        <v>941.35799999999995</v>
      </c>
      <c r="F152" s="360">
        <v>1.2</v>
      </c>
      <c r="G152" s="387">
        <f t="shared" si="24"/>
        <v>1129.6296</v>
      </c>
      <c r="H152" s="359">
        <f t="shared" si="25"/>
        <v>1.1296295999999999</v>
      </c>
      <c r="I152" s="387">
        <v>553</v>
      </c>
      <c r="J152" s="366">
        <f t="shared" si="26"/>
        <v>624.68516879999993</v>
      </c>
      <c r="K152" s="346"/>
    </row>
    <row r="153" spans="2:11" ht="15.75" x14ac:dyDescent="0.25">
      <c r="B153" s="335" t="str">
        <f t="shared" si="23"/>
        <v>RUA SÃO GONÇALO -A</v>
      </c>
      <c r="C153" s="359">
        <f t="shared" si="23"/>
        <v>81</v>
      </c>
      <c r="D153" s="332">
        <f t="shared" si="23"/>
        <v>5.9</v>
      </c>
      <c r="E153" s="360">
        <f t="shared" si="23"/>
        <v>477.90000000000003</v>
      </c>
      <c r="F153" s="360">
        <v>1.2</v>
      </c>
      <c r="G153" s="387">
        <f t="shared" si="24"/>
        <v>573.48</v>
      </c>
      <c r="H153" s="359">
        <f t="shared" si="25"/>
        <v>0.57347999999999999</v>
      </c>
      <c r="I153" s="387">
        <v>553</v>
      </c>
      <c r="J153" s="366">
        <f t="shared" si="26"/>
        <v>317.13443999999998</v>
      </c>
      <c r="K153" s="346"/>
    </row>
    <row r="154" spans="2:11" ht="15.75" x14ac:dyDescent="0.25">
      <c r="B154" s="335" t="str">
        <f t="shared" si="23"/>
        <v>RUA SÃO GONÇALO -B</v>
      </c>
      <c r="C154" s="359">
        <f t="shared" si="23"/>
        <v>58</v>
      </c>
      <c r="D154" s="332">
        <f t="shared" si="23"/>
        <v>6.2</v>
      </c>
      <c r="E154" s="360">
        <f t="shared" si="23"/>
        <v>359.6</v>
      </c>
      <c r="F154" s="360">
        <v>1.2</v>
      </c>
      <c r="G154" s="387">
        <f t="shared" si="24"/>
        <v>431.52000000000004</v>
      </c>
      <c r="H154" s="359">
        <f t="shared" si="25"/>
        <v>0.43152000000000001</v>
      </c>
      <c r="I154" s="387">
        <v>553</v>
      </c>
      <c r="J154" s="366">
        <f t="shared" si="26"/>
        <v>238.63056</v>
      </c>
      <c r="K154" s="346"/>
    </row>
    <row r="155" spans="2:11" ht="15.75" x14ac:dyDescent="0.25">
      <c r="B155" s="335" t="str">
        <f>B138</f>
        <v xml:space="preserve">TOTAL </v>
      </c>
      <c r="C155" s="365"/>
      <c r="D155" s="386"/>
      <c r="E155" s="336">
        <f>SUM(E146:E154)</f>
        <v>6076.3499999999995</v>
      </c>
      <c r="F155" s="369"/>
      <c r="G155" s="387">
        <f>SUM(G146:G154)</f>
        <v>7291.6200000000008</v>
      </c>
      <c r="H155" s="390">
        <f>SUM(H146:H154)</f>
        <v>7.2916199999999991</v>
      </c>
      <c r="I155" s="387">
        <v>553</v>
      </c>
      <c r="J155" s="366">
        <f>SUM(J146:J154)</f>
        <v>4032.26586</v>
      </c>
      <c r="K155" s="346"/>
    </row>
    <row r="156" spans="2:11" ht="15.75" x14ac:dyDescent="0.25">
      <c r="B156" s="374" t="s">
        <v>159</v>
      </c>
      <c r="C156" s="383"/>
      <c r="D156" s="353"/>
      <c r="E156" s="353"/>
      <c r="F156" s="353"/>
      <c r="G156" s="384"/>
      <c r="H156" s="384"/>
      <c r="I156" s="378"/>
      <c r="J156" s="346"/>
      <c r="K156" s="346"/>
    </row>
    <row r="157" spans="2:11" ht="15" x14ac:dyDescent="0.2">
      <c r="B157" s="382"/>
      <c r="C157" s="383"/>
      <c r="D157" s="353"/>
      <c r="E157" s="353"/>
      <c r="F157" s="353"/>
      <c r="G157" s="384"/>
      <c r="H157" s="384"/>
      <c r="I157" s="378"/>
      <c r="J157" s="378"/>
      <c r="K157" s="346"/>
    </row>
    <row r="158" spans="2:11" ht="15.75" x14ac:dyDescent="0.25">
      <c r="B158" s="306" t="s">
        <v>106</v>
      </c>
      <c r="C158" s="350"/>
      <c r="D158" s="345"/>
      <c r="E158" s="345"/>
      <c r="F158" s="391"/>
      <c r="G158" s="392"/>
      <c r="H158" s="393"/>
      <c r="I158" s="378"/>
      <c r="J158" s="378"/>
      <c r="K158" s="346"/>
    </row>
    <row r="159" spans="2:11" ht="75.75" customHeight="1" x14ac:dyDescent="0.2">
      <c r="B159" s="330" t="str">
        <f>B128</f>
        <v>Vias Urbanas</v>
      </c>
      <c r="C159" s="330" t="str">
        <f>C128</f>
        <v>Comprimento (m)</v>
      </c>
      <c r="D159" s="330" t="str">
        <f>D128</f>
        <v>Largura (m)</v>
      </c>
      <c r="E159" s="331" t="s">
        <v>351</v>
      </c>
      <c r="F159" s="453" t="s">
        <v>163</v>
      </c>
      <c r="G159" s="454"/>
      <c r="H159" s="394"/>
      <c r="I159" s="378"/>
      <c r="J159" s="378"/>
      <c r="K159" s="346"/>
    </row>
    <row r="160" spans="2:11" ht="23.25" customHeight="1" x14ac:dyDescent="0.25">
      <c r="B160" s="321" t="str">
        <f t="shared" ref="B160:C168" si="27">B146</f>
        <v>RUA AMAZONAS</v>
      </c>
      <c r="C160" s="370">
        <f t="shared" si="27"/>
        <v>245</v>
      </c>
      <c r="D160" s="332">
        <f t="shared" ref="D160:D168" si="28">D146-0.6</f>
        <v>6</v>
      </c>
      <c r="E160" s="336">
        <f>C160*D160</f>
        <v>1470</v>
      </c>
      <c r="F160" s="453" t="s">
        <v>352</v>
      </c>
      <c r="G160" s="454"/>
      <c r="H160" s="394"/>
      <c r="I160" s="378"/>
      <c r="J160" s="378"/>
      <c r="K160" s="346"/>
    </row>
    <row r="161" spans="2:11" ht="20.25" customHeight="1" x14ac:dyDescent="0.25">
      <c r="B161" s="321" t="str">
        <f t="shared" si="27"/>
        <v>RUA CORONEL JOSÉ   GONÇALVES</v>
      </c>
      <c r="C161" s="370">
        <f t="shared" si="27"/>
        <v>194</v>
      </c>
      <c r="D161" s="332">
        <f t="shared" si="28"/>
        <v>6</v>
      </c>
      <c r="E161" s="336">
        <f t="shared" ref="E161:E168" si="29">C161*D161</f>
        <v>1164</v>
      </c>
      <c r="F161" s="453" t="s">
        <v>352</v>
      </c>
      <c r="G161" s="454"/>
      <c r="H161" s="394"/>
      <c r="I161" s="378"/>
      <c r="J161" s="378"/>
      <c r="K161" s="346"/>
    </row>
    <row r="162" spans="2:11" ht="20.25" customHeight="1" x14ac:dyDescent="0.25">
      <c r="B162" s="321" t="str">
        <f t="shared" si="27"/>
        <v>RUA QUATRO ( E0 - E1 )</v>
      </c>
      <c r="C162" s="370">
        <f t="shared" si="27"/>
        <v>50</v>
      </c>
      <c r="D162" s="332">
        <f t="shared" si="28"/>
        <v>5.28</v>
      </c>
      <c r="E162" s="336">
        <f t="shared" si="29"/>
        <v>264</v>
      </c>
      <c r="F162" s="453" t="s">
        <v>352</v>
      </c>
      <c r="G162" s="454"/>
      <c r="H162" s="395"/>
      <c r="I162" s="378"/>
      <c r="J162" s="378"/>
      <c r="K162" s="346"/>
    </row>
    <row r="163" spans="2:11" ht="20.25" customHeight="1" x14ac:dyDescent="0.25">
      <c r="B163" s="321" t="str">
        <f t="shared" si="27"/>
        <v>RUA QUATRO ( E1 - E2 )</v>
      </c>
      <c r="C163" s="370">
        <f t="shared" si="27"/>
        <v>50</v>
      </c>
      <c r="D163" s="332">
        <f t="shared" si="28"/>
        <v>5.3100000000000005</v>
      </c>
      <c r="E163" s="336">
        <f t="shared" si="29"/>
        <v>265.5</v>
      </c>
      <c r="F163" s="453" t="s">
        <v>352</v>
      </c>
      <c r="G163" s="454"/>
      <c r="H163" s="395"/>
      <c r="I163" s="378"/>
      <c r="J163" s="378"/>
      <c r="K163" s="346"/>
    </row>
    <row r="164" spans="2:11" ht="20.25" customHeight="1" x14ac:dyDescent="0.25">
      <c r="B164" s="321" t="str">
        <f t="shared" si="27"/>
        <v>RUA QUATRO ( E2 - E3 )</v>
      </c>
      <c r="C164" s="370">
        <f t="shared" si="27"/>
        <v>50</v>
      </c>
      <c r="D164" s="332">
        <f t="shared" si="28"/>
        <v>5.3000000000000007</v>
      </c>
      <c r="E164" s="336">
        <f t="shared" si="29"/>
        <v>265.00000000000006</v>
      </c>
      <c r="F164" s="453" t="s">
        <v>352</v>
      </c>
      <c r="G164" s="454"/>
      <c r="H164" s="395"/>
      <c r="I164" s="378"/>
      <c r="J164" s="378"/>
      <c r="K164" s="346"/>
    </row>
    <row r="165" spans="2:11" ht="20.25" customHeight="1" x14ac:dyDescent="0.25">
      <c r="B165" s="321" t="str">
        <f t="shared" si="27"/>
        <v>RUA QUATRO ( E3- E4 ) +28,12</v>
      </c>
      <c r="C165" s="370">
        <f t="shared" si="27"/>
        <v>78.12</v>
      </c>
      <c r="D165" s="332">
        <f t="shared" si="28"/>
        <v>6</v>
      </c>
      <c r="E165" s="336">
        <f t="shared" si="29"/>
        <v>468.72</v>
      </c>
      <c r="F165" s="453" t="s">
        <v>352</v>
      </c>
      <c r="G165" s="454"/>
      <c r="H165" s="396">
        <f>E165+E164+E163+E162</f>
        <v>1263.22</v>
      </c>
      <c r="I165" s="378"/>
      <c r="J165" s="378"/>
      <c r="K165" s="346"/>
    </row>
    <row r="166" spans="2:11" ht="15" customHeight="1" x14ac:dyDescent="0.25">
      <c r="B166" s="321" t="str">
        <f t="shared" si="27"/>
        <v>RUA DONA MESSIAS</v>
      </c>
      <c r="C166" s="370">
        <f t="shared" si="27"/>
        <v>142.63</v>
      </c>
      <c r="D166" s="332">
        <f t="shared" si="28"/>
        <v>6</v>
      </c>
      <c r="E166" s="336">
        <f t="shared" si="29"/>
        <v>855.78</v>
      </c>
      <c r="F166" s="453" t="s">
        <v>352</v>
      </c>
      <c r="G166" s="454"/>
      <c r="H166" s="395"/>
      <c r="I166" s="378"/>
      <c r="J166" s="378"/>
      <c r="K166" s="346"/>
    </row>
    <row r="167" spans="2:11" ht="15.75" x14ac:dyDescent="0.25">
      <c r="B167" s="321" t="str">
        <f t="shared" si="27"/>
        <v>RUA SÃO GONÇALO -A</v>
      </c>
      <c r="C167" s="370">
        <f t="shared" si="27"/>
        <v>81</v>
      </c>
      <c r="D167" s="332">
        <f t="shared" si="28"/>
        <v>5.3000000000000007</v>
      </c>
      <c r="E167" s="336">
        <f t="shared" si="29"/>
        <v>429.30000000000007</v>
      </c>
      <c r="F167" s="453" t="s">
        <v>352</v>
      </c>
      <c r="G167" s="454"/>
      <c r="H167" s="379"/>
      <c r="I167" s="378"/>
      <c r="J167" s="378"/>
      <c r="K167" s="397"/>
    </row>
    <row r="168" spans="2:11" ht="15.75" x14ac:dyDescent="0.25">
      <c r="B168" s="321" t="str">
        <f t="shared" si="27"/>
        <v>RUA SÃO GONÇALO -B</v>
      </c>
      <c r="C168" s="370">
        <f t="shared" si="27"/>
        <v>58</v>
      </c>
      <c r="D168" s="332">
        <f t="shared" si="28"/>
        <v>5.6000000000000005</v>
      </c>
      <c r="E168" s="336">
        <f t="shared" si="29"/>
        <v>324.8</v>
      </c>
      <c r="F168" s="453" t="s">
        <v>352</v>
      </c>
      <c r="G168" s="454"/>
      <c r="H168" s="379"/>
      <c r="I168" s="378"/>
      <c r="J168" s="378"/>
      <c r="K168" s="397"/>
    </row>
    <row r="169" spans="2:11" ht="15.75" x14ac:dyDescent="0.25">
      <c r="B169" s="335" t="s">
        <v>94</v>
      </c>
      <c r="C169" s="363">
        <f>SUM(C160:C168)</f>
        <v>948.75</v>
      </c>
      <c r="D169" s="368"/>
      <c r="E169" s="336">
        <f>SUM(E160:E168)</f>
        <v>5507.1</v>
      </c>
      <c r="F169" s="455"/>
      <c r="G169" s="456"/>
      <c r="H169" s="379"/>
      <c r="I169" s="378"/>
      <c r="J169" s="378"/>
      <c r="K169" s="397"/>
    </row>
    <row r="170" spans="2:11" ht="15.75" x14ac:dyDescent="0.25">
      <c r="B170" s="457" t="s">
        <v>300</v>
      </c>
      <c r="C170" s="457"/>
      <c r="D170" s="457"/>
      <c r="E170" s="457"/>
      <c r="F170" s="352"/>
      <c r="G170" s="352"/>
      <c r="H170" s="352"/>
      <c r="I170" s="378"/>
      <c r="J170" s="378"/>
      <c r="K170" s="346"/>
    </row>
    <row r="171" spans="2:11" ht="15.75" x14ac:dyDescent="0.25">
      <c r="B171" s="374" t="s">
        <v>158</v>
      </c>
      <c r="C171" s="375"/>
      <c r="D171" s="351"/>
      <c r="E171" s="375"/>
      <c r="F171" s="351"/>
      <c r="G171" s="398"/>
      <c r="H171" s="398"/>
      <c r="I171" s="378"/>
      <c r="J171" s="346"/>
      <c r="K171" s="346"/>
    </row>
    <row r="172" spans="2:11" ht="15.75" x14ac:dyDescent="0.25">
      <c r="B172" s="382" t="s">
        <v>353</v>
      </c>
      <c r="C172" s="383"/>
      <c r="D172" s="353"/>
      <c r="E172" s="353"/>
      <c r="F172" s="351"/>
      <c r="G172" s="398"/>
      <c r="H172" s="398"/>
      <c r="I172" s="378"/>
      <c r="J172" s="346"/>
      <c r="K172" s="346"/>
    </row>
    <row r="173" spans="2:11" ht="15.75" x14ac:dyDescent="0.25">
      <c r="B173" s="382" t="s">
        <v>355</v>
      </c>
      <c r="C173" s="383"/>
      <c r="D173" s="353"/>
      <c r="E173" s="353"/>
      <c r="F173" s="351"/>
      <c r="G173" s="398"/>
      <c r="H173" s="398"/>
      <c r="I173" s="378"/>
      <c r="J173" s="346"/>
      <c r="K173" s="346"/>
    </row>
    <row r="174" spans="2:11" ht="15.75" x14ac:dyDescent="0.25">
      <c r="B174" s="382" t="s">
        <v>356</v>
      </c>
      <c r="C174" s="399">
        <f>J185</f>
        <v>1522.71315</v>
      </c>
      <c r="D174" s="385" t="s">
        <v>105</v>
      </c>
      <c r="E174" s="353"/>
      <c r="F174" s="351"/>
      <c r="G174" s="398"/>
      <c r="H174" s="398"/>
      <c r="I174" s="378"/>
      <c r="J174" s="346"/>
      <c r="K174" s="346"/>
    </row>
    <row r="175" spans="2:11" ht="15.75" x14ac:dyDescent="0.25">
      <c r="B175" s="335" t="str">
        <f t="shared" ref="B175:E176" si="30">B159</f>
        <v>Vias Urbanas</v>
      </c>
      <c r="C175" s="336" t="str">
        <f t="shared" si="30"/>
        <v>Comprimento (m)</v>
      </c>
      <c r="D175" s="386" t="str">
        <f t="shared" si="30"/>
        <v>Largura (m)</v>
      </c>
      <c r="E175" s="337" t="str">
        <f t="shared" si="30"/>
        <v>Área liquida</v>
      </c>
      <c r="F175" s="360" t="s">
        <v>354</v>
      </c>
      <c r="G175" s="359" t="s">
        <v>270</v>
      </c>
      <c r="H175" s="359" t="s">
        <v>349</v>
      </c>
      <c r="I175" s="360" t="str">
        <f>I145</f>
        <v>DMT (KM)</v>
      </c>
      <c r="J175" s="360" t="str">
        <f>J145</f>
        <v>TransporteTXKM</v>
      </c>
      <c r="K175" s="346"/>
    </row>
    <row r="176" spans="2:11" ht="15.75" x14ac:dyDescent="0.25">
      <c r="B176" s="335" t="str">
        <f t="shared" si="30"/>
        <v>RUA AMAZONAS</v>
      </c>
      <c r="C176" s="336">
        <f t="shared" si="30"/>
        <v>245</v>
      </c>
      <c r="D176" s="332">
        <f t="shared" si="30"/>
        <v>6</v>
      </c>
      <c r="E176" s="336">
        <f t="shared" si="30"/>
        <v>1470</v>
      </c>
      <c r="F176" s="336">
        <v>0.5</v>
      </c>
      <c r="G176" s="359">
        <f>F176*E176</f>
        <v>735</v>
      </c>
      <c r="H176" s="359">
        <f>G176/1000</f>
        <v>0.73499999999999999</v>
      </c>
      <c r="I176" s="360">
        <v>553</v>
      </c>
      <c r="J176" s="336">
        <f>I176*H176</f>
        <v>406.45499999999998</v>
      </c>
      <c r="K176" s="346"/>
    </row>
    <row r="177" spans="2:11" ht="15.75" x14ac:dyDescent="0.25">
      <c r="B177" s="335" t="str">
        <f t="shared" ref="B177:E184" si="31">B161</f>
        <v>RUA CORONEL JOSÉ   GONÇALVES</v>
      </c>
      <c r="C177" s="336">
        <f t="shared" si="31"/>
        <v>194</v>
      </c>
      <c r="D177" s="332">
        <f t="shared" si="31"/>
        <v>6</v>
      </c>
      <c r="E177" s="336">
        <f t="shared" si="31"/>
        <v>1164</v>
      </c>
      <c r="F177" s="336">
        <v>0.5</v>
      </c>
      <c r="G177" s="359">
        <f t="shared" ref="G177:G184" si="32">F177*E177</f>
        <v>582</v>
      </c>
      <c r="H177" s="359">
        <f t="shared" ref="H177:H185" si="33">G177/1000</f>
        <v>0.58199999999999996</v>
      </c>
      <c r="I177" s="360">
        <v>553</v>
      </c>
      <c r="J177" s="336">
        <f t="shared" ref="J177:J184" si="34">I177*H177</f>
        <v>321.846</v>
      </c>
      <c r="K177" s="346"/>
    </row>
    <row r="178" spans="2:11" ht="15.75" x14ac:dyDescent="0.25">
      <c r="B178" s="335" t="str">
        <f t="shared" si="31"/>
        <v>RUA QUATRO ( E0 - E1 )</v>
      </c>
      <c r="C178" s="336">
        <f t="shared" si="31"/>
        <v>50</v>
      </c>
      <c r="D178" s="332">
        <f t="shared" si="31"/>
        <v>5.28</v>
      </c>
      <c r="E178" s="336">
        <f t="shared" si="31"/>
        <v>264</v>
      </c>
      <c r="F178" s="336">
        <v>0.5</v>
      </c>
      <c r="G178" s="359">
        <f t="shared" si="32"/>
        <v>132</v>
      </c>
      <c r="H178" s="359">
        <f t="shared" si="33"/>
        <v>0.13200000000000001</v>
      </c>
      <c r="I178" s="360">
        <v>553</v>
      </c>
      <c r="J178" s="336">
        <f t="shared" si="34"/>
        <v>72.996000000000009</v>
      </c>
      <c r="K178" s="346"/>
    </row>
    <row r="179" spans="2:11" ht="15.75" x14ac:dyDescent="0.25">
      <c r="B179" s="335" t="str">
        <f t="shared" si="31"/>
        <v>RUA QUATRO ( E1 - E2 )</v>
      </c>
      <c r="C179" s="336">
        <f t="shared" si="31"/>
        <v>50</v>
      </c>
      <c r="D179" s="332">
        <f t="shared" si="31"/>
        <v>5.3100000000000005</v>
      </c>
      <c r="E179" s="336">
        <f t="shared" si="31"/>
        <v>265.5</v>
      </c>
      <c r="F179" s="336">
        <v>0.5</v>
      </c>
      <c r="G179" s="359">
        <f t="shared" si="32"/>
        <v>132.75</v>
      </c>
      <c r="H179" s="359">
        <f t="shared" si="33"/>
        <v>0.13275000000000001</v>
      </c>
      <c r="I179" s="360">
        <v>553</v>
      </c>
      <c r="J179" s="336">
        <f t="shared" si="34"/>
        <v>73.410750000000007</v>
      </c>
      <c r="K179" s="346"/>
    </row>
    <row r="180" spans="2:11" ht="15.75" x14ac:dyDescent="0.25">
      <c r="B180" s="335" t="str">
        <f t="shared" si="31"/>
        <v>RUA QUATRO ( E2 - E3 )</v>
      </c>
      <c r="C180" s="336">
        <f t="shared" si="31"/>
        <v>50</v>
      </c>
      <c r="D180" s="332">
        <f t="shared" si="31"/>
        <v>5.3000000000000007</v>
      </c>
      <c r="E180" s="336">
        <f t="shared" si="31"/>
        <v>265.00000000000006</v>
      </c>
      <c r="F180" s="336">
        <v>0.5</v>
      </c>
      <c r="G180" s="359">
        <f t="shared" si="32"/>
        <v>132.50000000000003</v>
      </c>
      <c r="H180" s="359">
        <f t="shared" si="33"/>
        <v>0.13250000000000003</v>
      </c>
      <c r="I180" s="360">
        <v>553</v>
      </c>
      <c r="J180" s="336">
        <f t="shared" si="34"/>
        <v>73.272500000000022</v>
      </c>
      <c r="K180" s="346"/>
    </row>
    <row r="181" spans="2:11" ht="15.75" x14ac:dyDescent="0.25">
      <c r="B181" s="335" t="str">
        <f t="shared" si="31"/>
        <v>RUA QUATRO ( E3- E4 ) +28,12</v>
      </c>
      <c r="C181" s="336">
        <f t="shared" si="31"/>
        <v>78.12</v>
      </c>
      <c r="D181" s="332">
        <f t="shared" si="31"/>
        <v>6</v>
      </c>
      <c r="E181" s="336">
        <f t="shared" si="31"/>
        <v>468.72</v>
      </c>
      <c r="F181" s="336">
        <v>0.5</v>
      </c>
      <c r="G181" s="359">
        <f t="shared" si="32"/>
        <v>234.36</v>
      </c>
      <c r="H181" s="359">
        <f t="shared" si="33"/>
        <v>0.23436000000000001</v>
      </c>
      <c r="I181" s="360">
        <v>553</v>
      </c>
      <c r="J181" s="336">
        <f t="shared" si="34"/>
        <v>129.60108</v>
      </c>
      <c r="K181" s="380">
        <f>J181+J180+J179+J178</f>
        <v>349.28033000000005</v>
      </c>
    </row>
    <row r="182" spans="2:11" ht="15.75" x14ac:dyDescent="0.25">
      <c r="B182" s="335" t="str">
        <f t="shared" si="31"/>
        <v>RUA DONA MESSIAS</v>
      </c>
      <c r="C182" s="336">
        <f t="shared" si="31"/>
        <v>142.63</v>
      </c>
      <c r="D182" s="332">
        <f t="shared" si="31"/>
        <v>6</v>
      </c>
      <c r="E182" s="336">
        <f t="shared" si="31"/>
        <v>855.78</v>
      </c>
      <c r="F182" s="336">
        <v>0.5</v>
      </c>
      <c r="G182" s="359">
        <f t="shared" si="32"/>
        <v>427.89</v>
      </c>
      <c r="H182" s="359">
        <f t="shared" si="33"/>
        <v>0.42788999999999999</v>
      </c>
      <c r="I182" s="360">
        <v>553</v>
      </c>
      <c r="J182" s="336">
        <f t="shared" si="34"/>
        <v>236.62316999999999</v>
      </c>
      <c r="K182" s="346"/>
    </row>
    <row r="183" spans="2:11" ht="15.75" x14ac:dyDescent="0.25">
      <c r="B183" s="335" t="str">
        <f t="shared" si="31"/>
        <v>RUA SÃO GONÇALO -A</v>
      </c>
      <c r="C183" s="336">
        <f t="shared" si="31"/>
        <v>81</v>
      </c>
      <c r="D183" s="332">
        <f t="shared" si="31"/>
        <v>5.3000000000000007</v>
      </c>
      <c r="E183" s="336">
        <f t="shared" si="31"/>
        <v>429.30000000000007</v>
      </c>
      <c r="F183" s="336">
        <v>0.5</v>
      </c>
      <c r="G183" s="359">
        <f t="shared" si="32"/>
        <v>214.65000000000003</v>
      </c>
      <c r="H183" s="359">
        <f t="shared" si="33"/>
        <v>0.21465000000000004</v>
      </c>
      <c r="I183" s="360">
        <v>553</v>
      </c>
      <c r="J183" s="336">
        <f t="shared" si="34"/>
        <v>118.70145000000002</v>
      </c>
      <c r="K183" s="346"/>
    </row>
    <row r="184" spans="2:11" ht="15.75" x14ac:dyDescent="0.25">
      <c r="B184" s="335" t="str">
        <f t="shared" si="31"/>
        <v>RUA SÃO GONÇALO -B</v>
      </c>
      <c r="C184" s="336">
        <f t="shared" si="31"/>
        <v>58</v>
      </c>
      <c r="D184" s="332">
        <f t="shared" si="31"/>
        <v>5.6000000000000005</v>
      </c>
      <c r="E184" s="336">
        <f t="shared" si="31"/>
        <v>324.8</v>
      </c>
      <c r="F184" s="336">
        <v>0.5</v>
      </c>
      <c r="G184" s="359">
        <f t="shared" si="32"/>
        <v>162.4</v>
      </c>
      <c r="H184" s="359">
        <f t="shared" si="33"/>
        <v>0.16240000000000002</v>
      </c>
      <c r="I184" s="360">
        <v>553</v>
      </c>
      <c r="J184" s="336">
        <f t="shared" si="34"/>
        <v>89.807200000000009</v>
      </c>
      <c r="K184" s="346"/>
    </row>
    <row r="185" spans="2:11" ht="15.75" x14ac:dyDescent="0.25">
      <c r="B185" s="335" t="str">
        <f>B169</f>
        <v xml:space="preserve">TOTAL </v>
      </c>
      <c r="C185" s="336">
        <f>SUM(C176:C184)</f>
        <v>948.75</v>
      </c>
      <c r="D185" s="337"/>
      <c r="E185" s="336">
        <f>SUM(E176:E184)</f>
        <v>5507.1</v>
      </c>
      <c r="F185" s="337"/>
      <c r="G185" s="387">
        <f>SUM(G176:G184)</f>
        <v>2753.55</v>
      </c>
      <c r="H185" s="390">
        <f t="shared" si="33"/>
        <v>2.7535500000000002</v>
      </c>
      <c r="I185" s="400"/>
      <c r="J185" s="336">
        <f>SUM(J176:J184)</f>
        <v>1522.71315</v>
      </c>
      <c r="K185" s="346"/>
    </row>
    <row r="186" spans="2:11" ht="15.75" x14ac:dyDescent="0.25">
      <c r="B186" s="374"/>
      <c r="C186" s="375"/>
      <c r="D186" s="351"/>
      <c r="E186" s="351"/>
      <c r="F186" s="351"/>
      <c r="G186" s="398"/>
      <c r="H186" s="398"/>
      <c r="I186" s="378"/>
      <c r="J186" s="346"/>
      <c r="K186" s="346"/>
    </row>
    <row r="187" spans="2:11" ht="15.75" x14ac:dyDescent="0.25">
      <c r="B187" s="374" t="s">
        <v>290</v>
      </c>
      <c r="C187" s="375"/>
      <c r="D187" s="351"/>
      <c r="E187" s="351"/>
      <c r="F187" s="351"/>
      <c r="G187" s="398"/>
      <c r="H187" s="398"/>
      <c r="I187" s="378"/>
      <c r="J187" s="346"/>
      <c r="K187" s="346"/>
    </row>
    <row r="188" spans="2:11" ht="15.75" x14ac:dyDescent="0.25">
      <c r="B188" s="382" t="str">
        <f>B172</f>
        <v>Área =5941,78 m²</v>
      </c>
      <c r="C188" s="383"/>
      <c r="D188" s="353"/>
      <c r="E188" s="353"/>
      <c r="F188" s="351"/>
      <c r="G188" s="398"/>
      <c r="H188" s="398"/>
      <c r="I188" s="378"/>
      <c r="J188" s="346"/>
      <c r="K188" s="346"/>
    </row>
    <row r="189" spans="2:11" ht="15.75" x14ac:dyDescent="0.25">
      <c r="B189" s="382" t="s">
        <v>240</v>
      </c>
      <c r="C189" s="383"/>
      <c r="D189" s="353"/>
      <c r="E189" s="353"/>
      <c r="F189" s="351"/>
      <c r="G189" s="398"/>
      <c r="H189" s="398"/>
      <c r="I189" s="378"/>
      <c r="J189" s="346"/>
      <c r="K189" s="346"/>
    </row>
    <row r="190" spans="2:11" ht="15.75" x14ac:dyDescent="0.25">
      <c r="B190" s="382" t="s">
        <v>357</v>
      </c>
      <c r="C190" s="401">
        <f>G201</f>
        <v>165.21299999999999</v>
      </c>
      <c r="D190" s="385" t="s">
        <v>301</v>
      </c>
      <c r="E190" s="353"/>
      <c r="F190" s="351"/>
      <c r="G190" s="398"/>
      <c r="H190" s="398"/>
      <c r="I190" s="378"/>
      <c r="J190" s="346"/>
      <c r="K190" s="346"/>
    </row>
    <row r="191" spans="2:11" ht="15.75" x14ac:dyDescent="0.25">
      <c r="B191" s="335" t="str">
        <f>B175</f>
        <v>Vias Urbanas</v>
      </c>
      <c r="C191" s="336" t="str">
        <f>C175</f>
        <v>Comprimento (m)</v>
      </c>
      <c r="D191" s="386" t="str">
        <f>D175</f>
        <v>Largura (m)</v>
      </c>
      <c r="E191" s="337" t="str">
        <f>E175</f>
        <v>Área liquida</v>
      </c>
      <c r="F191" s="337" t="s">
        <v>273</v>
      </c>
      <c r="G191" s="366" t="s">
        <v>262</v>
      </c>
      <c r="H191" s="398"/>
      <c r="I191" s="346"/>
      <c r="J191" s="346"/>
      <c r="K191" s="346"/>
    </row>
    <row r="192" spans="2:11" ht="15.75" x14ac:dyDescent="0.25">
      <c r="B192" s="335" t="str">
        <f t="shared" ref="B192:D200" si="35">B176</f>
        <v>RUA AMAZONAS</v>
      </c>
      <c r="C192" s="336">
        <f t="shared" si="35"/>
        <v>245</v>
      </c>
      <c r="D192" s="332">
        <f t="shared" si="35"/>
        <v>6</v>
      </c>
      <c r="E192" s="336">
        <f>C192*D192</f>
        <v>1470</v>
      </c>
      <c r="F192" s="360">
        <v>0.03</v>
      </c>
      <c r="G192" s="359">
        <f>E192*F192</f>
        <v>44.1</v>
      </c>
      <c r="H192" s="398"/>
      <c r="I192" s="346"/>
      <c r="J192" s="346"/>
      <c r="K192" s="346"/>
    </row>
    <row r="193" spans="2:11" ht="15.75" x14ac:dyDescent="0.25">
      <c r="B193" s="335" t="str">
        <f t="shared" si="35"/>
        <v>RUA CORONEL JOSÉ   GONÇALVES</v>
      </c>
      <c r="C193" s="336">
        <f t="shared" si="35"/>
        <v>194</v>
      </c>
      <c r="D193" s="332">
        <f t="shared" si="35"/>
        <v>6</v>
      </c>
      <c r="E193" s="336">
        <f t="shared" ref="E193:E200" si="36">C193*D193</f>
        <v>1164</v>
      </c>
      <c r="F193" s="360">
        <v>0.03</v>
      </c>
      <c r="G193" s="359">
        <f t="shared" ref="G193:G200" si="37">E193*F193</f>
        <v>34.92</v>
      </c>
      <c r="H193" s="398"/>
      <c r="I193" s="346"/>
      <c r="J193" s="346"/>
      <c r="K193" s="346"/>
    </row>
    <row r="194" spans="2:11" ht="15.75" x14ac:dyDescent="0.25">
      <c r="B194" s="335" t="str">
        <f t="shared" si="35"/>
        <v>RUA QUATRO ( E0 - E1 )</v>
      </c>
      <c r="C194" s="336">
        <f t="shared" si="35"/>
        <v>50</v>
      </c>
      <c r="D194" s="332">
        <f t="shared" si="35"/>
        <v>5.28</v>
      </c>
      <c r="E194" s="336">
        <f t="shared" si="36"/>
        <v>264</v>
      </c>
      <c r="F194" s="360">
        <v>0.03</v>
      </c>
      <c r="G194" s="359">
        <f t="shared" si="37"/>
        <v>7.92</v>
      </c>
      <c r="H194" s="349"/>
      <c r="I194" s="346"/>
      <c r="J194" s="346"/>
      <c r="K194" s="346"/>
    </row>
    <row r="195" spans="2:11" ht="15.75" x14ac:dyDescent="0.25">
      <c r="B195" s="335" t="str">
        <f t="shared" si="35"/>
        <v>RUA QUATRO ( E1 - E2 )</v>
      </c>
      <c r="C195" s="336">
        <f t="shared" si="35"/>
        <v>50</v>
      </c>
      <c r="D195" s="332">
        <f t="shared" si="35"/>
        <v>5.3100000000000005</v>
      </c>
      <c r="E195" s="336">
        <f t="shared" si="36"/>
        <v>265.5</v>
      </c>
      <c r="F195" s="360">
        <v>0.03</v>
      </c>
      <c r="G195" s="359">
        <f t="shared" si="37"/>
        <v>7.9649999999999999</v>
      </c>
      <c r="H195" s="349"/>
      <c r="I195" s="346"/>
      <c r="J195" s="346"/>
      <c r="K195" s="346"/>
    </row>
    <row r="196" spans="2:11" ht="15.75" x14ac:dyDescent="0.25">
      <c r="B196" s="335" t="str">
        <f t="shared" si="35"/>
        <v>RUA QUATRO ( E2 - E3 )</v>
      </c>
      <c r="C196" s="336">
        <f t="shared" si="35"/>
        <v>50</v>
      </c>
      <c r="D196" s="332">
        <f t="shared" si="35"/>
        <v>5.3000000000000007</v>
      </c>
      <c r="E196" s="336">
        <f t="shared" si="36"/>
        <v>265.00000000000006</v>
      </c>
      <c r="F196" s="360">
        <v>0.03</v>
      </c>
      <c r="G196" s="359">
        <f t="shared" si="37"/>
        <v>7.9500000000000011</v>
      </c>
      <c r="H196" s="349"/>
      <c r="I196" s="346"/>
      <c r="J196" s="346"/>
      <c r="K196" s="346"/>
    </row>
    <row r="197" spans="2:11" ht="15.75" x14ac:dyDescent="0.25">
      <c r="B197" s="335" t="str">
        <f t="shared" si="35"/>
        <v>RUA QUATRO ( E3- E4 ) +28,12</v>
      </c>
      <c r="C197" s="336">
        <f t="shared" si="35"/>
        <v>78.12</v>
      </c>
      <c r="D197" s="332">
        <f t="shared" si="35"/>
        <v>6</v>
      </c>
      <c r="E197" s="336">
        <f t="shared" si="36"/>
        <v>468.72</v>
      </c>
      <c r="F197" s="360">
        <v>0.03</v>
      </c>
      <c r="G197" s="359">
        <f t="shared" si="37"/>
        <v>14.0616</v>
      </c>
      <c r="H197" s="402">
        <f>G197+G196+G195+G194</f>
        <v>37.896599999999999</v>
      </c>
      <c r="I197" s="346"/>
      <c r="J197" s="346"/>
      <c r="K197" s="346"/>
    </row>
    <row r="198" spans="2:11" ht="15.75" x14ac:dyDescent="0.25">
      <c r="B198" s="335" t="str">
        <f t="shared" si="35"/>
        <v>RUA DONA MESSIAS</v>
      </c>
      <c r="C198" s="336">
        <f t="shared" si="35"/>
        <v>142.63</v>
      </c>
      <c r="D198" s="332">
        <f t="shared" si="35"/>
        <v>6</v>
      </c>
      <c r="E198" s="336">
        <f t="shared" si="36"/>
        <v>855.78</v>
      </c>
      <c r="F198" s="360">
        <v>0.03</v>
      </c>
      <c r="G198" s="359">
        <f t="shared" si="37"/>
        <v>25.673399999999997</v>
      </c>
      <c r="H198" s="349"/>
      <c r="I198" s="346"/>
      <c r="J198" s="346"/>
      <c r="K198" s="346"/>
    </row>
    <row r="199" spans="2:11" ht="15.75" x14ac:dyDescent="0.25">
      <c r="B199" s="335" t="str">
        <f t="shared" si="35"/>
        <v>RUA SÃO GONÇALO -A</v>
      </c>
      <c r="C199" s="336">
        <f t="shared" si="35"/>
        <v>81</v>
      </c>
      <c r="D199" s="332">
        <f t="shared" si="35"/>
        <v>5.3000000000000007</v>
      </c>
      <c r="E199" s="336">
        <f t="shared" si="36"/>
        <v>429.30000000000007</v>
      </c>
      <c r="F199" s="360">
        <v>0.03</v>
      </c>
      <c r="G199" s="359">
        <f t="shared" si="37"/>
        <v>12.879000000000001</v>
      </c>
      <c r="H199" s="349"/>
      <c r="I199" s="346"/>
      <c r="J199" s="346"/>
      <c r="K199" s="346"/>
    </row>
    <row r="200" spans="2:11" ht="15.75" x14ac:dyDescent="0.25">
      <c r="B200" s="335" t="str">
        <f t="shared" si="35"/>
        <v>RUA SÃO GONÇALO -B</v>
      </c>
      <c r="C200" s="336">
        <f t="shared" si="35"/>
        <v>58</v>
      </c>
      <c r="D200" s="332">
        <f t="shared" si="35"/>
        <v>5.6000000000000005</v>
      </c>
      <c r="E200" s="336">
        <f t="shared" si="36"/>
        <v>324.8</v>
      </c>
      <c r="F200" s="360">
        <v>0.03</v>
      </c>
      <c r="G200" s="359">
        <f t="shared" si="37"/>
        <v>9.7439999999999998</v>
      </c>
      <c r="H200" s="349"/>
      <c r="I200" s="346"/>
      <c r="J200" s="346"/>
      <c r="K200" s="346"/>
    </row>
    <row r="201" spans="2:11" ht="15.75" x14ac:dyDescent="0.25">
      <c r="B201" s="335" t="str">
        <f>B185</f>
        <v xml:space="preserve">TOTAL </v>
      </c>
      <c r="C201" s="403"/>
      <c r="D201" s="386"/>
      <c r="E201" s="336">
        <f>SUM(E192:E200)</f>
        <v>5507.1</v>
      </c>
      <c r="F201" s="337"/>
      <c r="G201" s="359">
        <f>SUM(G192:G200)</f>
        <v>165.21299999999999</v>
      </c>
      <c r="H201" s="349"/>
      <c r="I201" s="346"/>
      <c r="J201" s="346"/>
      <c r="K201" s="346"/>
    </row>
    <row r="202" spans="2:11" ht="15" x14ac:dyDescent="0.2">
      <c r="B202" s="382"/>
      <c r="C202" s="356"/>
      <c r="D202" s="345"/>
      <c r="E202" s="345"/>
      <c r="F202" s="345"/>
      <c r="G202" s="345"/>
      <c r="H202" s="345"/>
      <c r="I202" s="347"/>
      <c r="J202" s="346"/>
      <c r="K202" s="346"/>
    </row>
    <row r="203" spans="2:11" ht="15.75" x14ac:dyDescent="0.25">
      <c r="B203" s="374" t="s">
        <v>302</v>
      </c>
      <c r="C203" s="375"/>
      <c r="D203" s="351"/>
      <c r="E203" s="351"/>
      <c r="F203" s="351"/>
      <c r="G203" s="345"/>
      <c r="H203" s="345"/>
      <c r="I203" s="347"/>
      <c r="J203" s="346"/>
      <c r="K203" s="346"/>
    </row>
    <row r="204" spans="2:11" ht="15" x14ac:dyDescent="0.2">
      <c r="B204" s="382" t="str">
        <f>B188</f>
        <v>Área =5941,78 m²</v>
      </c>
      <c r="C204" s="356"/>
      <c r="D204" s="345"/>
      <c r="E204" s="345"/>
      <c r="F204" s="345"/>
      <c r="G204" s="345"/>
      <c r="H204" s="345"/>
      <c r="I204" s="347"/>
      <c r="J204" s="346"/>
      <c r="K204" s="346"/>
    </row>
    <row r="205" spans="2:11" ht="15" x14ac:dyDescent="0.2">
      <c r="B205" s="382" t="str">
        <f>B189</f>
        <v>Espessura = 3 cm</v>
      </c>
      <c r="C205" s="356"/>
      <c r="D205" s="345"/>
      <c r="E205" s="345"/>
      <c r="F205" s="345"/>
      <c r="G205" s="345"/>
      <c r="H205" s="345"/>
      <c r="I205" s="347"/>
      <c r="J205" s="346"/>
      <c r="K205" s="346"/>
    </row>
    <row r="206" spans="2:11" ht="15" x14ac:dyDescent="0.2">
      <c r="B206" s="382" t="s">
        <v>303</v>
      </c>
      <c r="C206" s="356"/>
      <c r="D206" s="345"/>
      <c r="E206" s="345"/>
      <c r="F206" s="345"/>
      <c r="G206" s="345"/>
      <c r="H206" s="345"/>
      <c r="I206" s="347"/>
      <c r="J206" s="346"/>
      <c r="K206" s="346"/>
    </row>
    <row r="207" spans="2:11" ht="15" x14ac:dyDescent="0.2">
      <c r="B207" s="382" t="s">
        <v>358</v>
      </c>
      <c r="C207" s="356">
        <f>5941.78*0.03* 2.4</f>
        <v>427.80815999999999</v>
      </c>
      <c r="D207" s="345" t="s">
        <v>160</v>
      </c>
      <c r="E207" s="345"/>
      <c r="F207" s="345"/>
      <c r="G207" s="345"/>
      <c r="H207" s="345"/>
      <c r="I207" s="347"/>
      <c r="J207" s="346"/>
      <c r="K207" s="346"/>
    </row>
    <row r="208" spans="2:11" ht="15" x14ac:dyDescent="0.2">
      <c r="B208" s="382" t="s">
        <v>304</v>
      </c>
      <c r="C208" s="356">
        <f>J219</f>
        <v>49563.899999999987</v>
      </c>
      <c r="D208" s="345" t="s">
        <v>161</v>
      </c>
      <c r="E208" s="345"/>
      <c r="F208" s="345"/>
      <c r="G208" s="345"/>
      <c r="H208" s="345"/>
      <c r="I208" s="347"/>
      <c r="J208" s="346"/>
      <c r="K208" s="346"/>
    </row>
    <row r="209" spans="2:11" ht="15.75" x14ac:dyDescent="0.25">
      <c r="B209" s="335" t="str">
        <f>B191</f>
        <v>Vias Urbanas</v>
      </c>
      <c r="C209" s="359" t="str">
        <f>C191</f>
        <v>Comprimento (m)</v>
      </c>
      <c r="D209" s="404" t="str">
        <f>D191</f>
        <v>Largura (m)</v>
      </c>
      <c r="E209" s="337" t="str">
        <f>E191</f>
        <v>Área liquida</v>
      </c>
      <c r="F209" s="337" t="str">
        <f>F191</f>
        <v>Espessura (0,03 m)</v>
      </c>
      <c r="G209" s="337" t="s">
        <v>295</v>
      </c>
      <c r="H209" s="360" t="s">
        <v>296</v>
      </c>
      <c r="I209" s="360" t="s">
        <v>271</v>
      </c>
      <c r="J209" s="360" t="s">
        <v>297</v>
      </c>
      <c r="K209" s="346"/>
    </row>
    <row r="210" spans="2:11" ht="15.75" x14ac:dyDescent="0.25">
      <c r="B210" s="335" t="str">
        <f t="shared" ref="B210:E218" si="38">B192</f>
        <v>RUA AMAZONAS</v>
      </c>
      <c r="C210" s="359">
        <f t="shared" si="38"/>
        <v>245</v>
      </c>
      <c r="D210" s="332">
        <f t="shared" si="38"/>
        <v>6</v>
      </c>
      <c r="E210" s="336">
        <f t="shared" si="38"/>
        <v>1470</v>
      </c>
      <c r="F210" s="360">
        <v>0.03</v>
      </c>
      <c r="G210" s="336">
        <v>2.4</v>
      </c>
      <c r="H210" s="336">
        <f>G210*F210*E210</f>
        <v>105.83999999999999</v>
      </c>
      <c r="I210" s="360">
        <v>125</v>
      </c>
      <c r="J210" s="360">
        <f>I210*H210</f>
        <v>13229.999999999998</v>
      </c>
      <c r="K210" s="346"/>
    </row>
    <row r="211" spans="2:11" ht="15.75" x14ac:dyDescent="0.25">
      <c r="B211" s="335" t="str">
        <f t="shared" si="38"/>
        <v>RUA CORONEL JOSÉ   GONÇALVES</v>
      </c>
      <c r="C211" s="359">
        <f t="shared" si="38"/>
        <v>194</v>
      </c>
      <c r="D211" s="332">
        <f t="shared" si="38"/>
        <v>6</v>
      </c>
      <c r="E211" s="336">
        <f t="shared" si="38"/>
        <v>1164</v>
      </c>
      <c r="F211" s="360">
        <v>0.03</v>
      </c>
      <c r="G211" s="336">
        <v>2.4</v>
      </c>
      <c r="H211" s="336">
        <f t="shared" ref="H211:H218" si="39">G211*F211*E211</f>
        <v>83.807999999999993</v>
      </c>
      <c r="I211" s="360">
        <v>125</v>
      </c>
      <c r="J211" s="360">
        <f t="shared" ref="J211:J218" si="40">I211*H211</f>
        <v>10476</v>
      </c>
      <c r="K211" s="346"/>
    </row>
    <row r="212" spans="2:11" ht="15.75" x14ac:dyDescent="0.25">
      <c r="B212" s="335" t="str">
        <f t="shared" si="38"/>
        <v>RUA QUATRO ( E0 - E1 )</v>
      </c>
      <c r="C212" s="359">
        <f t="shared" si="38"/>
        <v>50</v>
      </c>
      <c r="D212" s="332">
        <f t="shared" si="38"/>
        <v>5.28</v>
      </c>
      <c r="E212" s="336">
        <f t="shared" si="38"/>
        <v>264</v>
      </c>
      <c r="F212" s="360">
        <v>0.03</v>
      </c>
      <c r="G212" s="336">
        <v>2.4</v>
      </c>
      <c r="H212" s="336">
        <f t="shared" si="39"/>
        <v>19.007999999999999</v>
      </c>
      <c r="I212" s="360">
        <v>125</v>
      </c>
      <c r="J212" s="360">
        <f t="shared" si="40"/>
        <v>2376</v>
      </c>
      <c r="K212" s="346"/>
    </row>
    <row r="213" spans="2:11" ht="15.75" x14ac:dyDescent="0.25">
      <c r="B213" s="335" t="str">
        <f t="shared" si="38"/>
        <v>RUA QUATRO ( E1 - E2 )</v>
      </c>
      <c r="C213" s="359">
        <f t="shared" si="38"/>
        <v>50</v>
      </c>
      <c r="D213" s="332">
        <f t="shared" si="38"/>
        <v>5.3100000000000005</v>
      </c>
      <c r="E213" s="336">
        <f t="shared" si="38"/>
        <v>265.5</v>
      </c>
      <c r="F213" s="360">
        <v>0.03</v>
      </c>
      <c r="G213" s="336">
        <v>2.4</v>
      </c>
      <c r="H213" s="336">
        <f t="shared" si="39"/>
        <v>19.116</v>
      </c>
      <c r="I213" s="360">
        <v>125</v>
      </c>
      <c r="J213" s="360">
        <f t="shared" si="40"/>
        <v>2389.5</v>
      </c>
      <c r="K213" s="346"/>
    </row>
    <row r="214" spans="2:11" ht="15.75" x14ac:dyDescent="0.25">
      <c r="B214" s="335" t="str">
        <f t="shared" si="38"/>
        <v>RUA QUATRO ( E2 - E3 )</v>
      </c>
      <c r="C214" s="359">
        <f t="shared" si="38"/>
        <v>50</v>
      </c>
      <c r="D214" s="332">
        <f t="shared" si="38"/>
        <v>5.3000000000000007</v>
      </c>
      <c r="E214" s="336">
        <f t="shared" si="38"/>
        <v>265.00000000000006</v>
      </c>
      <c r="F214" s="360">
        <v>0.03</v>
      </c>
      <c r="G214" s="336">
        <v>2.4</v>
      </c>
      <c r="H214" s="336">
        <f t="shared" si="39"/>
        <v>19.080000000000002</v>
      </c>
      <c r="I214" s="360">
        <v>125</v>
      </c>
      <c r="J214" s="360">
        <f t="shared" si="40"/>
        <v>2385.0000000000005</v>
      </c>
      <c r="K214" s="346"/>
    </row>
    <row r="215" spans="2:11" ht="15.75" x14ac:dyDescent="0.25">
      <c r="B215" s="335" t="str">
        <f t="shared" si="38"/>
        <v>RUA QUATRO ( E3- E4 ) +28,12</v>
      </c>
      <c r="C215" s="359">
        <f t="shared" si="38"/>
        <v>78.12</v>
      </c>
      <c r="D215" s="332">
        <f t="shared" si="38"/>
        <v>6</v>
      </c>
      <c r="E215" s="336">
        <f t="shared" si="38"/>
        <v>468.72</v>
      </c>
      <c r="F215" s="360">
        <v>0.03</v>
      </c>
      <c r="G215" s="336">
        <v>2.4</v>
      </c>
      <c r="H215" s="336">
        <f t="shared" si="39"/>
        <v>33.747839999999997</v>
      </c>
      <c r="I215" s="360">
        <v>125</v>
      </c>
      <c r="J215" s="360">
        <f t="shared" si="40"/>
        <v>4218.4799999999996</v>
      </c>
      <c r="K215" s="258">
        <f>J215+J214+J213+J212</f>
        <v>11368.98</v>
      </c>
    </row>
    <row r="216" spans="2:11" ht="15.75" x14ac:dyDescent="0.25">
      <c r="B216" s="335" t="str">
        <f t="shared" si="38"/>
        <v>RUA DONA MESSIAS</v>
      </c>
      <c r="C216" s="359">
        <f t="shared" si="38"/>
        <v>142.63</v>
      </c>
      <c r="D216" s="332">
        <f t="shared" si="38"/>
        <v>6</v>
      </c>
      <c r="E216" s="336">
        <f t="shared" si="38"/>
        <v>855.78</v>
      </c>
      <c r="F216" s="360">
        <v>0.03</v>
      </c>
      <c r="G216" s="336">
        <v>2.4</v>
      </c>
      <c r="H216" s="336">
        <f t="shared" si="39"/>
        <v>61.616159999999994</v>
      </c>
      <c r="I216" s="360">
        <v>125</v>
      </c>
      <c r="J216" s="360">
        <f t="shared" si="40"/>
        <v>7702.0199999999995</v>
      </c>
      <c r="K216" s="258"/>
    </row>
    <row r="217" spans="2:11" ht="15.75" x14ac:dyDescent="0.25">
      <c r="B217" s="335" t="str">
        <f t="shared" si="38"/>
        <v>RUA SÃO GONÇALO -A</v>
      </c>
      <c r="C217" s="359">
        <f t="shared" si="38"/>
        <v>81</v>
      </c>
      <c r="D217" s="332">
        <f t="shared" si="38"/>
        <v>5.3000000000000007</v>
      </c>
      <c r="E217" s="336">
        <f t="shared" si="38"/>
        <v>429.30000000000007</v>
      </c>
      <c r="F217" s="360">
        <v>0.03</v>
      </c>
      <c r="G217" s="336">
        <v>2.4</v>
      </c>
      <c r="H217" s="336">
        <f t="shared" si="39"/>
        <v>30.909600000000001</v>
      </c>
      <c r="I217" s="360">
        <v>125</v>
      </c>
      <c r="J217" s="360">
        <f t="shared" si="40"/>
        <v>3863.7000000000003</v>
      </c>
      <c r="K217" s="258"/>
    </row>
    <row r="218" spans="2:11" ht="15.75" x14ac:dyDescent="0.25">
      <c r="B218" s="335" t="str">
        <f t="shared" si="38"/>
        <v>RUA SÃO GONÇALO -B</v>
      </c>
      <c r="C218" s="359">
        <f t="shared" si="38"/>
        <v>58</v>
      </c>
      <c r="D218" s="332">
        <f t="shared" si="38"/>
        <v>5.6000000000000005</v>
      </c>
      <c r="E218" s="336">
        <f t="shared" si="38"/>
        <v>324.8</v>
      </c>
      <c r="F218" s="360">
        <v>0.03</v>
      </c>
      <c r="G218" s="336">
        <v>2.4</v>
      </c>
      <c r="H218" s="336">
        <f t="shared" si="39"/>
        <v>23.3856</v>
      </c>
      <c r="I218" s="360">
        <v>125</v>
      </c>
      <c r="J218" s="360">
        <f t="shared" si="40"/>
        <v>2923.2</v>
      </c>
      <c r="K218" s="258"/>
    </row>
    <row r="219" spans="2:11" ht="15.75" x14ac:dyDescent="0.25">
      <c r="B219" s="335" t="str">
        <f>B201</f>
        <v xml:space="preserve">TOTAL </v>
      </c>
      <c r="C219" s="359">
        <f>SUM(C210:C218)</f>
        <v>948.75</v>
      </c>
      <c r="D219" s="368"/>
      <c r="E219" s="336">
        <f>SUM(E210:E218)</f>
        <v>5507.1</v>
      </c>
      <c r="F219" s="368"/>
      <c r="G219" s="368"/>
      <c r="H219" s="369">
        <f>SUM(H210:H218)</f>
        <v>396.51119999999997</v>
      </c>
      <c r="I219" s="359"/>
      <c r="J219" s="360">
        <f>SUM(J210:J218)</f>
        <v>49563.899999999987</v>
      </c>
      <c r="K219" s="258">
        <f>SUM(K212:K218)</f>
        <v>11368.98</v>
      </c>
    </row>
    <row r="220" spans="2:11" ht="30.75" customHeight="1" x14ac:dyDescent="0.25">
      <c r="B220" s="452" t="s">
        <v>305</v>
      </c>
      <c r="C220" s="452"/>
      <c r="D220" s="452"/>
      <c r="E220" s="452"/>
      <c r="F220" s="452"/>
      <c r="G220" s="452"/>
      <c r="H220" s="405"/>
      <c r="I220" s="350"/>
      <c r="J220" s="346"/>
      <c r="K220" s="346"/>
    </row>
    <row r="221" spans="2:11" ht="15" x14ac:dyDescent="0.2">
      <c r="B221" s="345"/>
      <c r="C221" s="356"/>
      <c r="D221" s="345"/>
      <c r="E221" s="345"/>
      <c r="F221" s="345"/>
      <c r="G221" s="345"/>
      <c r="H221" s="345"/>
      <c r="I221" s="347"/>
      <c r="J221" s="346"/>
      <c r="K221" s="346"/>
    </row>
    <row r="222" spans="2:11" ht="15.75" x14ac:dyDescent="0.2">
      <c r="B222" s="330" t="s">
        <v>91</v>
      </c>
      <c r="C222" s="330" t="s">
        <v>242</v>
      </c>
      <c r="D222" s="330" t="s">
        <v>2</v>
      </c>
      <c r="E222" s="331" t="s">
        <v>107</v>
      </c>
      <c r="F222" s="470" t="s">
        <v>162</v>
      </c>
      <c r="G222" s="471"/>
      <c r="H222" s="348"/>
      <c r="I222" s="347"/>
      <c r="J222" s="346"/>
      <c r="K222" s="346"/>
    </row>
    <row r="223" spans="2:11" ht="46.5" customHeight="1" x14ac:dyDescent="0.2">
      <c r="B223" s="321" t="str">
        <f t="shared" ref="B223:B231" si="41">B210</f>
        <v>RUA AMAZONAS</v>
      </c>
      <c r="C223" s="332">
        <f t="shared" ref="C223:C231" si="42">C210*2</f>
        <v>490</v>
      </c>
      <c r="D223" s="332">
        <f>C223+E223</f>
        <v>476.8</v>
      </c>
      <c r="E223" s="333">
        <v>-13.2</v>
      </c>
      <c r="F223" s="473" t="s">
        <v>359</v>
      </c>
      <c r="G223" s="474"/>
      <c r="H223" s="348"/>
      <c r="I223" s="347"/>
      <c r="J223" s="346"/>
      <c r="K223" s="346"/>
    </row>
    <row r="224" spans="2:11" ht="39" customHeight="1" x14ac:dyDescent="0.2">
      <c r="B224" s="321" t="str">
        <f t="shared" si="41"/>
        <v>RUA CORONEL JOSÉ   GONÇALVES</v>
      </c>
      <c r="C224" s="332">
        <f t="shared" si="42"/>
        <v>388</v>
      </c>
      <c r="D224" s="332">
        <f>C224+E224</f>
        <v>375.65</v>
      </c>
      <c r="E224" s="333">
        <v>-12.35</v>
      </c>
      <c r="F224" s="473" t="s">
        <v>360</v>
      </c>
      <c r="G224" s="474"/>
      <c r="H224" s="348"/>
      <c r="I224" s="347"/>
      <c r="J224" s="346"/>
      <c r="K224" s="346"/>
    </row>
    <row r="225" spans="2:11" ht="15.75" x14ac:dyDescent="0.2">
      <c r="B225" s="321" t="str">
        <f t="shared" si="41"/>
        <v>RUA QUATRO ( E0 - E1 )</v>
      </c>
      <c r="C225" s="332">
        <f t="shared" si="42"/>
        <v>100</v>
      </c>
      <c r="D225" s="332">
        <f>C225</f>
        <v>100</v>
      </c>
      <c r="E225" s="333"/>
      <c r="F225" s="464"/>
      <c r="G225" s="465"/>
      <c r="H225" s="326">
        <f>D225+D226+D227+D228</f>
        <v>448.24</v>
      </c>
      <c r="I225" s="347"/>
      <c r="J225" s="346"/>
      <c r="K225" s="346"/>
    </row>
    <row r="226" spans="2:11" ht="15.75" x14ac:dyDescent="0.2">
      <c r="B226" s="321" t="str">
        <f t="shared" si="41"/>
        <v>RUA QUATRO ( E1 - E2 )</v>
      </c>
      <c r="C226" s="332">
        <f t="shared" si="42"/>
        <v>100</v>
      </c>
      <c r="D226" s="332">
        <f>C226+E226</f>
        <v>100</v>
      </c>
      <c r="E226" s="333"/>
      <c r="F226" s="464"/>
      <c r="G226" s="465"/>
      <c r="H226" s="348"/>
      <c r="I226" s="347"/>
      <c r="J226" s="346"/>
      <c r="K226" s="346"/>
    </row>
    <row r="227" spans="2:11" ht="15.75" x14ac:dyDescent="0.2">
      <c r="B227" s="321" t="str">
        <f t="shared" si="41"/>
        <v>RUA QUATRO ( E2 - E3 )</v>
      </c>
      <c r="C227" s="332">
        <f t="shared" si="42"/>
        <v>100</v>
      </c>
      <c r="D227" s="332">
        <f>C227+E227</f>
        <v>85.4</v>
      </c>
      <c r="E227" s="333">
        <v>-14.6</v>
      </c>
      <c r="F227" s="464" t="s">
        <v>362</v>
      </c>
      <c r="G227" s="465"/>
      <c r="H227" s="348"/>
      <c r="I227" s="347"/>
      <c r="J227" s="346"/>
      <c r="K227" s="346"/>
    </row>
    <row r="228" spans="2:11" ht="37.5" customHeight="1" x14ac:dyDescent="0.2">
      <c r="B228" s="321" t="str">
        <f t="shared" si="41"/>
        <v>RUA QUATRO ( E3- E4 ) +28,12</v>
      </c>
      <c r="C228" s="332">
        <f t="shared" si="42"/>
        <v>156.24</v>
      </c>
      <c r="D228" s="332">
        <f>C228+6.6</f>
        <v>162.84</v>
      </c>
      <c r="E228" s="333">
        <v>6.6</v>
      </c>
      <c r="F228" s="473" t="s">
        <v>361</v>
      </c>
      <c r="G228" s="474"/>
      <c r="H228" s="348"/>
      <c r="I228" s="347"/>
      <c r="J228" s="346"/>
      <c r="K228" s="346"/>
    </row>
    <row r="229" spans="2:11" ht="35.25" customHeight="1" x14ac:dyDescent="0.2">
      <c r="B229" s="321" t="str">
        <f t="shared" si="41"/>
        <v>RUA DONA MESSIAS</v>
      </c>
      <c r="C229" s="332">
        <f t="shared" si="42"/>
        <v>285.26</v>
      </c>
      <c r="D229" s="406">
        <f>C229+E229</f>
        <v>272.65999999999997</v>
      </c>
      <c r="E229" s="407">
        <v>-12.6</v>
      </c>
      <c r="F229" s="473" t="s">
        <v>363</v>
      </c>
      <c r="G229" s="474"/>
      <c r="H229" s="408"/>
      <c r="I229" s="347"/>
      <c r="J229" s="346"/>
      <c r="K229" s="346"/>
    </row>
    <row r="230" spans="2:11" ht="15.75" x14ac:dyDescent="0.2">
      <c r="B230" s="321" t="str">
        <f t="shared" si="41"/>
        <v>RUA SÃO GONÇALO -A</v>
      </c>
      <c r="C230" s="332">
        <f t="shared" si="42"/>
        <v>162</v>
      </c>
      <c r="D230" s="406">
        <v>162</v>
      </c>
      <c r="E230" s="407"/>
      <c r="F230" s="464"/>
      <c r="G230" s="465"/>
      <c r="H230" s="408"/>
      <c r="I230" s="347"/>
      <c r="J230" s="346"/>
      <c r="K230" s="346"/>
    </row>
    <row r="231" spans="2:11" ht="15.75" x14ac:dyDescent="0.2">
      <c r="B231" s="321" t="str">
        <f t="shared" si="41"/>
        <v>RUA SÃO GONÇALO -B</v>
      </c>
      <c r="C231" s="332">
        <f t="shared" si="42"/>
        <v>116</v>
      </c>
      <c r="D231" s="406">
        <v>116</v>
      </c>
      <c r="E231" s="407"/>
      <c r="F231" s="464"/>
      <c r="G231" s="465"/>
      <c r="H231" s="408"/>
      <c r="I231" s="347"/>
      <c r="J231" s="346"/>
      <c r="K231" s="346"/>
    </row>
    <row r="232" spans="2:11" ht="15.75" x14ac:dyDescent="0.25">
      <c r="B232" s="360" t="s">
        <v>241</v>
      </c>
      <c r="C232" s="409"/>
      <c r="D232" s="336">
        <f>SUM(D223:D231)</f>
        <v>1851.35</v>
      </c>
      <c r="E232" s="337"/>
      <c r="F232" s="450"/>
      <c r="G232" s="451"/>
      <c r="H232" s="349"/>
      <c r="I232" s="347"/>
      <c r="J232" s="346"/>
      <c r="K232" s="346"/>
    </row>
    <row r="233" spans="2:11" ht="32.25" customHeight="1" x14ac:dyDescent="0.25">
      <c r="B233" s="376" t="s">
        <v>274</v>
      </c>
      <c r="C233" s="376"/>
      <c r="D233" s="410"/>
      <c r="E233" s="376"/>
      <c r="F233" s="376"/>
      <c r="G233" s="376"/>
      <c r="H233" s="376"/>
      <c r="I233" s="306"/>
      <c r="J233" s="346"/>
      <c r="K233" s="346"/>
    </row>
    <row r="234" spans="2:11" ht="22.5" customHeight="1" x14ac:dyDescent="0.2">
      <c r="B234" s="459"/>
      <c r="C234" s="459"/>
      <c r="D234" s="459"/>
      <c r="E234" s="459"/>
      <c r="F234" s="459"/>
      <c r="G234" s="459"/>
      <c r="H234" s="460"/>
      <c r="I234" s="460"/>
      <c r="J234" s="346"/>
      <c r="K234" s="346"/>
    </row>
    <row r="235" spans="2:11" ht="44.25" customHeight="1" x14ac:dyDescent="0.2">
      <c r="B235" s="330" t="s">
        <v>91</v>
      </c>
      <c r="C235" s="330" t="s">
        <v>326</v>
      </c>
      <c r="D235" s="330" t="s">
        <v>364</v>
      </c>
      <c r="E235" s="411" t="s">
        <v>327</v>
      </c>
      <c r="F235" s="411" t="s">
        <v>328</v>
      </c>
      <c r="G235" s="412" t="s">
        <v>262</v>
      </c>
      <c r="H235" s="412" t="s">
        <v>163</v>
      </c>
      <c r="I235" s="346"/>
      <c r="J235" s="346"/>
      <c r="K235" s="346"/>
    </row>
    <row r="236" spans="2:11" ht="36.75" customHeight="1" x14ac:dyDescent="0.2">
      <c r="B236" s="330" t="str">
        <f t="shared" ref="B236:B244" si="43">B223</f>
        <v>RUA AMAZONAS</v>
      </c>
      <c r="C236" s="332">
        <f t="shared" ref="C236:C244" si="44">D223</f>
        <v>476.8</v>
      </c>
      <c r="D236" s="332">
        <v>1.82</v>
      </c>
      <c r="E236" s="413">
        <f t="shared" ref="E236:E244" si="45">C236*D236</f>
        <v>867.77600000000007</v>
      </c>
      <c r="F236" s="411">
        <v>0.06</v>
      </c>
      <c r="G236" s="414">
        <f t="shared" ref="G236:G244" si="46">F236*E236</f>
        <v>52.066560000000003</v>
      </c>
      <c r="H236" s="412" t="s">
        <v>365</v>
      </c>
      <c r="I236" s="346"/>
      <c r="J236" s="346"/>
      <c r="K236" s="346"/>
    </row>
    <row r="237" spans="2:11" ht="30.75" customHeight="1" x14ac:dyDescent="0.2">
      <c r="B237" s="330" t="str">
        <f t="shared" si="43"/>
        <v>RUA CORONEL JOSÉ   GONÇALVES</v>
      </c>
      <c r="C237" s="332">
        <f t="shared" si="44"/>
        <v>375.65</v>
      </c>
      <c r="D237" s="332">
        <v>1.76</v>
      </c>
      <c r="E237" s="413">
        <f t="shared" si="45"/>
        <v>661.14400000000001</v>
      </c>
      <c r="F237" s="411">
        <v>0.06</v>
      </c>
      <c r="G237" s="414">
        <f t="shared" si="46"/>
        <v>39.668639999999996</v>
      </c>
      <c r="H237" s="412" t="s">
        <v>365</v>
      </c>
      <c r="I237" s="346"/>
      <c r="J237" s="346"/>
      <c r="K237" s="346"/>
    </row>
    <row r="238" spans="2:11" ht="58.5" customHeight="1" x14ac:dyDescent="0.2">
      <c r="B238" s="330" t="str">
        <f t="shared" si="43"/>
        <v>RUA QUATRO ( E0 - E1 )</v>
      </c>
      <c r="C238" s="332">
        <f t="shared" si="44"/>
        <v>100</v>
      </c>
      <c r="D238" s="406">
        <v>1.2</v>
      </c>
      <c r="E238" s="415">
        <f t="shared" si="45"/>
        <v>120</v>
      </c>
      <c r="F238" s="411">
        <v>0.06</v>
      </c>
      <c r="G238" s="414">
        <f t="shared" si="46"/>
        <v>7.1999999999999993</v>
      </c>
      <c r="H238" s="412" t="s">
        <v>365</v>
      </c>
      <c r="I238" s="397"/>
      <c r="J238" s="346"/>
      <c r="K238" s="346"/>
    </row>
    <row r="239" spans="2:11" ht="51.75" customHeight="1" x14ac:dyDescent="0.2">
      <c r="B239" s="330" t="str">
        <f t="shared" si="43"/>
        <v>RUA QUATRO ( E1 - E2 )</v>
      </c>
      <c r="C239" s="332">
        <f t="shared" si="44"/>
        <v>100</v>
      </c>
      <c r="D239" s="406">
        <v>0.86</v>
      </c>
      <c r="E239" s="415">
        <f t="shared" si="45"/>
        <v>86</v>
      </c>
      <c r="F239" s="411">
        <v>0.06</v>
      </c>
      <c r="G239" s="313">
        <f t="shared" si="46"/>
        <v>5.16</v>
      </c>
      <c r="H239" s="412" t="s">
        <v>365</v>
      </c>
      <c r="I239" s="346"/>
      <c r="J239" s="346"/>
      <c r="K239" s="346"/>
    </row>
    <row r="240" spans="2:11" ht="44.25" customHeight="1" x14ac:dyDescent="0.2">
      <c r="B240" s="330" t="str">
        <f t="shared" si="43"/>
        <v>RUA QUATRO ( E2 - E3 )</v>
      </c>
      <c r="C240" s="332">
        <f t="shared" si="44"/>
        <v>85.4</v>
      </c>
      <c r="D240" s="406">
        <v>0.93</v>
      </c>
      <c r="E240" s="415">
        <f t="shared" si="45"/>
        <v>79.422000000000011</v>
      </c>
      <c r="F240" s="411">
        <v>0.06</v>
      </c>
      <c r="G240" s="313">
        <f t="shared" si="46"/>
        <v>4.7653200000000009</v>
      </c>
      <c r="H240" s="412" t="s">
        <v>365</v>
      </c>
      <c r="I240" s="346"/>
      <c r="J240" s="346"/>
      <c r="K240" s="346"/>
    </row>
    <row r="241" spans="2:11" ht="40.5" customHeight="1" x14ac:dyDescent="0.2">
      <c r="B241" s="330" t="str">
        <f t="shared" si="43"/>
        <v>RUA QUATRO ( E3- E4 ) +28,12</v>
      </c>
      <c r="C241" s="332">
        <f t="shared" si="44"/>
        <v>162.84</v>
      </c>
      <c r="D241" s="406">
        <v>1.55</v>
      </c>
      <c r="E241" s="415">
        <f t="shared" si="45"/>
        <v>252.40200000000002</v>
      </c>
      <c r="F241" s="411">
        <v>0.06</v>
      </c>
      <c r="G241" s="313">
        <f t="shared" si="46"/>
        <v>15.144120000000001</v>
      </c>
      <c r="H241" s="412" t="s">
        <v>365</v>
      </c>
      <c r="I241" s="380">
        <f>G241+G240+G239+G238</f>
        <v>32.269440000000003</v>
      </c>
      <c r="J241" s="346"/>
      <c r="K241" s="346"/>
    </row>
    <row r="242" spans="2:11" ht="39.75" customHeight="1" x14ac:dyDescent="0.2">
      <c r="B242" s="330" t="str">
        <f t="shared" si="43"/>
        <v>RUA DONA MESSIAS</v>
      </c>
      <c r="C242" s="332">
        <f t="shared" si="44"/>
        <v>272.65999999999997</v>
      </c>
      <c r="D242" s="406">
        <v>2.0499999999999998</v>
      </c>
      <c r="E242" s="415">
        <f t="shared" si="45"/>
        <v>558.95299999999986</v>
      </c>
      <c r="F242" s="411">
        <v>0.06</v>
      </c>
      <c r="G242" s="313">
        <f t="shared" si="46"/>
        <v>33.537179999999992</v>
      </c>
      <c r="H242" s="412" t="s">
        <v>365</v>
      </c>
      <c r="I242" s="346"/>
      <c r="J242" s="346"/>
      <c r="K242" s="346"/>
    </row>
    <row r="243" spans="2:11" ht="34.5" customHeight="1" x14ac:dyDescent="0.2">
      <c r="B243" s="330" t="str">
        <f t="shared" si="43"/>
        <v>RUA SÃO GONÇALO -A</v>
      </c>
      <c r="C243" s="332">
        <f t="shared" si="44"/>
        <v>162</v>
      </c>
      <c r="D243" s="406">
        <v>1.2</v>
      </c>
      <c r="E243" s="415">
        <f t="shared" si="45"/>
        <v>194.4</v>
      </c>
      <c r="F243" s="411">
        <v>0.06</v>
      </c>
      <c r="G243" s="313">
        <f t="shared" si="46"/>
        <v>11.664</v>
      </c>
      <c r="H243" s="412" t="s">
        <v>365</v>
      </c>
      <c r="I243" s="346"/>
      <c r="J243" s="346"/>
      <c r="K243" s="346"/>
    </row>
    <row r="244" spans="2:11" ht="44.25" customHeight="1" x14ac:dyDescent="0.2">
      <c r="B244" s="330" t="str">
        <f t="shared" si="43"/>
        <v>RUA SÃO GONÇALO -B</v>
      </c>
      <c r="C244" s="332">
        <f t="shared" si="44"/>
        <v>116</v>
      </c>
      <c r="D244" s="406">
        <v>1.08</v>
      </c>
      <c r="E244" s="415">
        <f t="shared" si="45"/>
        <v>125.28</v>
      </c>
      <c r="F244" s="411">
        <v>0.06</v>
      </c>
      <c r="G244" s="313">
        <f t="shared" si="46"/>
        <v>7.5167999999999999</v>
      </c>
      <c r="H244" s="412" t="s">
        <v>365</v>
      </c>
      <c r="I244" s="346"/>
      <c r="J244" s="346"/>
      <c r="K244" s="346"/>
    </row>
    <row r="245" spans="2:11" ht="15.75" x14ac:dyDescent="0.25">
      <c r="B245" s="335" t="s">
        <v>94</v>
      </c>
      <c r="C245" s="409"/>
      <c r="D245" s="337"/>
      <c r="E245" s="416">
        <f>SUM(E238:E241)</f>
        <v>537.82400000000007</v>
      </c>
      <c r="F245" s="369"/>
      <c r="G245" s="313">
        <f>SUM(G236:G244)</f>
        <v>176.72261999999995</v>
      </c>
      <c r="H245" s="312"/>
      <c r="I245" s="346"/>
      <c r="J245" s="346"/>
      <c r="K245" s="346"/>
    </row>
    <row r="246" spans="2:11" ht="15.75" x14ac:dyDescent="0.25">
      <c r="B246" s="417" t="s">
        <v>439</v>
      </c>
      <c r="C246" s="346"/>
      <c r="D246" s="346"/>
      <c r="E246" s="346"/>
      <c r="F246" s="346"/>
      <c r="G246" s="354"/>
      <c r="H246" s="354"/>
      <c r="I246" s="347"/>
      <c r="J246" s="346"/>
      <c r="K246" s="346"/>
    </row>
    <row r="247" spans="2:11" x14ac:dyDescent="0.2">
      <c r="B247" s="418"/>
      <c r="C247" s="418"/>
      <c r="D247" s="418"/>
      <c r="E247" s="418"/>
      <c r="F247" s="418"/>
      <c r="G247" s="418"/>
      <c r="H247" s="418"/>
      <c r="I247" s="418"/>
      <c r="J247" s="346"/>
      <c r="K247" s="346"/>
    </row>
    <row r="248" spans="2:11" x14ac:dyDescent="0.2">
      <c r="B248" s="418" t="s">
        <v>437</v>
      </c>
      <c r="C248" s="418"/>
      <c r="D248" s="418"/>
      <c r="E248" s="418"/>
      <c r="F248" s="418"/>
      <c r="G248" s="418"/>
      <c r="H248" s="418"/>
      <c r="I248" s="418"/>
      <c r="J248" s="346"/>
      <c r="K248" s="346"/>
    </row>
    <row r="249" spans="2:11" ht="47.25" x14ac:dyDescent="0.2">
      <c r="B249" s="330" t="s">
        <v>91</v>
      </c>
      <c r="C249" s="330" t="s">
        <v>322</v>
      </c>
      <c r="D249" s="330" t="s">
        <v>440</v>
      </c>
      <c r="E249" s="330" t="s">
        <v>441</v>
      </c>
      <c r="F249" s="441" t="s">
        <v>442</v>
      </c>
      <c r="G249" s="440" t="s">
        <v>445</v>
      </c>
      <c r="H249" s="440" t="s">
        <v>446</v>
      </c>
      <c r="I249" s="348"/>
      <c r="J249" s="346"/>
      <c r="K249" s="346"/>
    </row>
    <row r="250" spans="2:11" ht="15.75" x14ac:dyDescent="0.2">
      <c r="B250" s="321" t="str">
        <f>B236</f>
        <v>RUA AMAZONAS</v>
      </c>
      <c r="C250" s="419">
        <v>10</v>
      </c>
      <c r="D250" s="330" t="s">
        <v>393</v>
      </c>
      <c r="E250" s="332" t="s">
        <v>443</v>
      </c>
      <c r="F250" s="330" t="s">
        <v>444</v>
      </c>
      <c r="G250" s="330">
        <f>3.6*1.82-0.6</f>
        <v>5.9520000000000008</v>
      </c>
      <c r="H250" s="330">
        <f>G250*10</f>
        <v>59.52000000000001</v>
      </c>
      <c r="I250" s="348"/>
      <c r="J250" s="346"/>
      <c r="K250" s="346"/>
    </row>
    <row r="251" spans="2:11" ht="15.75" x14ac:dyDescent="0.2">
      <c r="B251" s="321" t="str">
        <f t="shared" ref="B251:B258" si="47">B237</f>
        <v>RUA CORONEL JOSÉ   GONÇALVES</v>
      </c>
      <c r="C251" s="419">
        <v>8</v>
      </c>
      <c r="D251" s="330" t="s">
        <v>394</v>
      </c>
      <c r="E251" s="332" t="s">
        <v>443</v>
      </c>
      <c r="F251" s="330" t="s">
        <v>444</v>
      </c>
      <c r="G251" s="330">
        <f>3.6*1.76-0.6</f>
        <v>5.7360000000000007</v>
      </c>
      <c r="H251" s="332">
        <f>G251*8</f>
        <v>45.888000000000005</v>
      </c>
      <c r="I251" s="348"/>
      <c r="J251" s="346"/>
      <c r="K251" s="346"/>
    </row>
    <row r="252" spans="2:11" ht="15.75" x14ac:dyDescent="0.2">
      <c r="B252" s="321" t="str">
        <f t="shared" si="47"/>
        <v>RUA QUATRO ( E0 - E1 )</v>
      </c>
      <c r="C252" s="419">
        <v>2</v>
      </c>
      <c r="D252" s="330" t="s">
        <v>447</v>
      </c>
      <c r="E252" s="332" t="s">
        <v>443</v>
      </c>
      <c r="F252" s="330" t="s">
        <v>444</v>
      </c>
      <c r="G252" s="330">
        <f>3.6*1.2-0.6</f>
        <v>3.72</v>
      </c>
      <c r="H252" s="330">
        <f>G252*2</f>
        <v>7.44</v>
      </c>
      <c r="I252" s="348"/>
      <c r="J252" s="346"/>
      <c r="K252" s="346"/>
    </row>
    <row r="253" spans="2:11" ht="15.75" x14ac:dyDescent="0.2">
      <c r="B253" s="321" t="str">
        <f t="shared" si="47"/>
        <v>RUA QUATRO ( E1 - E2 )</v>
      </c>
      <c r="C253" s="419">
        <v>2</v>
      </c>
      <c r="D253" s="330" t="s">
        <v>447</v>
      </c>
      <c r="E253" s="332" t="s">
        <v>443</v>
      </c>
      <c r="F253" s="330" t="s">
        <v>444</v>
      </c>
      <c r="G253" s="330">
        <f>3.6*1.2-0.6</f>
        <v>3.72</v>
      </c>
      <c r="H253" s="330">
        <f>G253*2</f>
        <v>7.44</v>
      </c>
      <c r="I253" s="348"/>
      <c r="J253" s="346"/>
      <c r="K253" s="346"/>
    </row>
    <row r="254" spans="2:11" ht="15.75" x14ac:dyDescent="0.2">
      <c r="B254" s="321" t="str">
        <f t="shared" si="47"/>
        <v>RUA QUATRO ( E2 - E3 )</v>
      </c>
      <c r="C254" s="419" t="s">
        <v>449</v>
      </c>
      <c r="D254" s="330"/>
      <c r="E254" s="470" t="s">
        <v>450</v>
      </c>
      <c r="F254" s="482"/>
      <c r="G254" s="482"/>
      <c r="H254" s="471"/>
      <c r="I254" s="348"/>
      <c r="J254" s="346"/>
      <c r="K254" s="346"/>
    </row>
    <row r="255" spans="2:11" ht="15.75" x14ac:dyDescent="0.2">
      <c r="B255" s="321" t="str">
        <f t="shared" si="47"/>
        <v>RUA QUATRO ( E3- E4 ) +28,12</v>
      </c>
      <c r="C255" s="419">
        <v>4</v>
      </c>
      <c r="D255" s="330" t="s">
        <v>395</v>
      </c>
      <c r="E255" s="332" t="s">
        <v>443</v>
      </c>
      <c r="F255" s="330" t="s">
        <v>444</v>
      </c>
      <c r="G255" s="330">
        <f>3.6*1.55-0.6</f>
        <v>4.9800000000000004</v>
      </c>
      <c r="H255" s="330">
        <f>G255*4</f>
        <v>19.920000000000002</v>
      </c>
      <c r="I255" s="348"/>
      <c r="J255" s="346"/>
      <c r="K255" s="346"/>
    </row>
    <row r="256" spans="2:11" ht="15.75" x14ac:dyDescent="0.2">
      <c r="B256" s="321" t="str">
        <f t="shared" si="47"/>
        <v>RUA DONA MESSIAS</v>
      </c>
      <c r="C256" s="419">
        <v>8</v>
      </c>
      <c r="D256" s="330" t="s">
        <v>396</v>
      </c>
      <c r="E256" s="332" t="s">
        <v>443</v>
      </c>
      <c r="F256" s="330" t="s">
        <v>444</v>
      </c>
      <c r="G256" s="330">
        <f>3.6*2.05-0.6</f>
        <v>6.78</v>
      </c>
      <c r="H256" s="330">
        <f>G256*8</f>
        <v>54.24</v>
      </c>
      <c r="I256" s="348"/>
      <c r="J256" s="346"/>
      <c r="K256" s="346"/>
    </row>
    <row r="257" spans="2:11" ht="15.75" x14ac:dyDescent="0.2">
      <c r="B257" s="321" t="str">
        <f t="shared" si="47"/>
        <v>RUA SÃO GONÇALO -A</v>
      </c>
      <c r="C257" s="419">
        <v>4</v>
      </c>
      <c r="D257" s="330" t="s">
        <v>451</v>
      </c>
      <c r="E257" s="332" t="s">
        <v>443</v>
      </c>
      <c r="F257" s="330" t="s">
        <v>444</v>
      </c>
      <c r="G257" s="330">
        <f>3.6*1.2-0.6</f>
        <v>3.72</v>
      </c>
      <c r="H257" s="330">
        <f>G257*4</f>
        <v>14.88</v>
      </c>
      <c r="I257" s="348"/>
      <c r="J257" s="346"/>
      <c r="K257" s="346"/>
    </row>
    <row r="258" spans="2:11" ht="15.75" x14ac:dyDescent="0.2">
      <c r="B258" s="321" t="str">
        <f t="shared" si="47"/>
        <v>RUA SÃO GONÇALO -B</v>
      </c>
      <c r="C258" s="420">
        <v>4</v>
      </c>
      <c r="D258" s="330" t="s">
        <v>451</v>
      </c>
      <c r="E258" s="332" t="s">
        <v>443</v>
      </c>
      <c r="F258" s="330" t="s">
        <v>444</v>
      </c>
      <c r="G258" s="330">
        <f>G257</f>
        <v>3.72</v>
      </c>
      <c r="H258" s="330">
        <f>H257</f>
        <v>14.88</v>
      </c>
      <c r="I258" s="421"/>
      <c r="J258" s="346"/>
      <c r="K258" s="346"/>
    </row>
    <row r="259" spans="2:11" ht="15.75" x14ac:dyDescent="0.2">
      <c r="B259" s="442"/>
      <c r="C259" s="443"/>
      <c r="D259" s="348"/>
      <c r="E259" s="439"/>
      <c r="F259" s="348"/>
      <c r="G259" s="348"/>
      <c r="H259" s="348"/>
      <c r="I259" s="421"/>
      <c r="J259" s="346"/>
      <c r="K259" s="346"/>
    </row>
    <row r="260" spans="2:11" ht="15.75" x14ac:dyDescent="0.2">
      <c r="B260" s="442" t="s">
        <v>452</v>
      </c>
      <c r="C260" s="443"/>
      <c r="D260" s="348"/>
      <c r="E260" s="439"/>
      <c r="F260" s="348"/>
      <c r="G260" s="348"/>
      <c r="H260" s="348"/>
      <c r="I260" s="421"/>
      <c r="J260" s="346"/>
      <c r="K260" s="346"/>
    </row>
    <row r="261" spans="2:11" ht="31.5" x14ac:dyDescent="0.2">
      <c r="B261" s="330" t="s">
        <v>91</v>
      </c>
      <c r="C261" s="330" t="s">
        <v>322</v>
      </c>
      <c r="D261" s="330" t="s">
        <v>440</v>
      </c>
      <c r="E261" s="441" t="s">
        <v>442</v>
      </c>
      <c r="F261" s="441" t="s">
        <v>453</v>
      </c>
      <c r="G261" s="330" t="s">
        <v>455</v>
      </c>
      <c r="H261" s="348"/>
      <c r="I261" s="421"/>
      <c r="J261" s="346"/>
      <c r="K261" s="346"/>
    </row>
    <row r="262" spans="2:11" ht="15.75" x14ac:dyDescent="0.2">
      <c r="B262" s="321" t="str">
        <f>B250</f>
        <v>RUA AMAZONAS</v>
      </c>
      <c r="C262" s="419">
        <v>10</v>
      </c>
      <c r="D262" s="330" t="s">
        <v>393</v>
      </c>
      <c r="E262" s="332" t="s">
        <v>448</v>
      </c>
      <c r="F262" s="330" t="s">
        <v>454</v>
      </c>
      <c r="G262" s="330">
        <f>10*(1.82+0.6)</f>
        <v>24.2</v>
      </c>
      <c r="H262" s="348"/>
      <c r="I262" s="421"/>
      <c r="J262" s="346"/>
      <c r="K262" s="346"/>
    </row>
    <row r="263" spans="2:11" ht="15.75" x14ac:dyDescent="0.2">
      <c r="B263" s="321" t="str">
        <f t="shared" ref="B263:B270" si="48">B251</f>
        <v>RUA CORONEL JOSÉ   GONÇALVES</v>
      </c>
      <c r="C263" s="419">
        <v>8</v>
      </c>
      <c r="D263" s="330" t="s">
        <v>394</v>
      </c>
      <c r="E263" s="332" t="s">
        <v>448</v>
      </c>
      <c r="F263" s="330" t="s">
        <v>456</v>
      </c>
      <c r="G263" s="330">
        <f>8*(1.76+0.6)</f>
        <v>18.88</v>
      </c>
      <c r="H263" s="348"/>
      <c r="I263" s="421"/>
      <c r="J263" s="346"/>
      <c r="K263" s="346"/>
    </row>
    <row r="264" spans="2:11" ht="15.75" x14ac:dyDescent="0.2">
      <c r="B264" s="321" t="str">
        <f t="shared" si="48"/>
        <v>RUA QUATRO ( E0 - E1 )</v>
      </c>
      <c r="C264" s="419">
        <v>2</v>
      </c>
      <c r="D264" s="330" t="s">
        <v>447</v>
      </c>
      <c r="E264" s="332" t="s">
        <v>448</v>
      </c>
      <c r="F264" s="330" t="s">
        <v>457</v>
      </c>
      <c r="G264" s="332">
        <f>2*(1.2+0.6)</f>
        <v>3.5999999999999996</v>
      </c>
      <c r="H264" s="348"/>
      <c r="I264" s="421"/>
      <c r="J264" s="346"/>
      <c r="K264" s="346"/>
    </row>
    <row r="265" spans="2:11" ht="15.75" x14ac:dyDescent="0.2">
      <c r="B265" s="321" t="str">
        <f t="shared" si="48"/>
        <v>RUA QUATRO ( E1 - E2 )</v>
      </c>
      <c r="C265" s="419">
        <v>2</v>
      </c>
      <c r="D265" s="330" t="s">
        <v>447</v>
      </c>
      <c r="E265" s="332" t="s">
        <v>448</v>
      </c>
      <c r="F265" s="330" t="s">
        <v>457</v>
      </c>
      <c r="G265" s="332">
        <f>G264</f>
        <v>3.5999999999999996</v>
      </c>
      <c r="H265" s="348"/>
      <c r="I265" s="421"/>
      <c r="J265" s="346"/>
      <c r="K265" s="346"/>
    </row>
    <row r="266" spans="2:11" ht="15.75" x14ac:dyDescent="0.2">
      <c r="B266" s="321" t="str">
        <f t="shared" si="48"/>
        <v>RUA QUATRO ( E2 - E3 )</v>
      </c>
      <c r="C266" s="419" t="s">
        <v>449</v>
      </c>
      <c r="D266" s="330"/>
      <c r="E266" s="475" t="s">
        <v>450</v>
      </c>
      <c r="F266" s="483"/>
      <c r="G266" s="476"/>
      <c r="H266" s="348"/>
      <c r="I266" s="421"/>
      <c r="J266" s="346"/>
      <c r="K266" s="346"/>
    </row>
    <row r="267" spans="2:11" ht="15.75" x14ac:dyDescent="0.2">
      <c r="B267" s="321" t="str">
        <f t="shared" si="48"/>
        <v>RUA QUATRO ( E3- E4 ) +28,12</v>
      </c>
      <c r="C267" s="419">
        <v>4</v>
      </c>
      <c r="D267" s="330" t="s">
        <v>395</v>
      </c>
      <c r="E267" s="332" t="s">
        <v>448</v>
      </c>
      <c r="F267" s="330" t="s">
        <v>458</v>
      </c>
      <c r="G267" s="332">
        <f>4*(1.55+0.6)</f>
        <v>8.6</v>
      </c>
      <c r="H267" s="348"/>
      <c r="I267" s="421"/>
      <c r="J267" s="346"/>
      <c r="K267" s="346"/>
    </row>
    <row r="268" spans="2:11" ht="15.75" x14ac:dyDescent="0.2">
      <c r="B268" s="321" t="str">
        <f t="shared" si="48"/>
        <v>RUA DONA MESSIAS</v>
      </c>
      <c r="C268" s="419">
        <v>8</v>
      </c>
      <c r="D268" s="330" t="s">
        <v>396</v>
      </c>
      <c r="E268" s="332" t="s">
        <v>448</v>
      </c>
      <c r="F268" s="330" t="s">
        <v>459</v>
      </c>
      <c r="G268" s="332">
        <f>8*(2.05+0.6)</f>
        <v>21.2</v>
      </c>
      <c r="H268" s="348"/>
      <c r="I268" s="421"/>
      <c r="J268" s="346"/>
      <c r="K268" s="346"/>
    </row>
    <row r="269" spans="2:11" ht="15.75" x14ac:dyDescent="0.2">
      <c r="B269" s="321" t="str">
        <f t="shared" si="48"/>
        <v>RUA SÃO GONÇALO -A</v>
      </c>
      <c r="C269" s="419">
        <v>4</v>
      </c>
      <c r="D269" s="330" t="s">
        <v>451</v>
      </c>
      <c r="E269" s="332" t="s">
        <v>448</v>
      </c>
      <c r="F269" s="330" t="s">
        <v>460</v>
      </c>
      <c r="G269" s="332">
        <f>4*(1.2+0.6)</f>
        <v>7.1999999999999993</v>
      </c>
      <c r="H269" s="348"/>
      <c r="I269" s="421"/>
      <c r="J269" s="346"/>
      <c r="K269" s="346"/>
    </row>
    <row r="270" spans="2:11" ht="15.75" x14ac:dyDescent="0.2">
      <c r="B270" s="321" t="str">
        <f t="shared" si="48"/>
        <v>RUA SÃO GONÇALO -B</v>
      </c>
      <c r="C270" s="420">
        <v>4</v>
      </c>
      <c r="D270" s="330" t="s">
        <v>451</v>
      </c>
      <c r="E270" s="332" t="s">
        <v>448</v>
      </c>
      <c r="F270" s="330"/>
      <c r="G270" s="332">
        <f>G269</f>
        <v>7.1999999999999993</v>
      </c>
      <c r="H270" s="348"/>
      <c r="I270" s="421"/>
      <c r="J270" s="346"/>
      <c r="K270" s="346"/>
    </row>
    <row r="271" spans="2:11" ht="15.75" x14ac:dyDescent="0.2">
      <c r="B271" s="442"/>
      <c r="C271" s="443"/>
      <c r="D271" s="348"/>
      <c r="E271" s="439"/>
      <c r="F271" s="348"/>
      <c r="G271" s="348"/>
      <c r="H271" s="348"/>
      <c r="I271" s="421"/>
      <c r="J271" s="346"/>
      <c r="K271" s="346"/>
    </row>
    <row r="272" spans="2:11" ht="15.75" x14ac:dyDescent="0.25">
      <c r="B272" s="345"/>
      <c r="C272" s="401"/>
      <c r="D272" s="354"/>
      <c r="E272" s="352"/>
      <c r="F272" s="352"/>
      <c r="G272" s="347"/>
      <c r="H272" s="347"/>
      <c r="I272" s="347"/>
      <c r="J272" s="346"/>
      <c r="K272" s="346"/>
    </row>
    <row r="273" spans="2:11" ht="15.75" x14ac:dyDescent="0.25">
      <c r="B273" s="345"/>
      <c r="C273" s="401"/>
      <c r="D273" s="354"/>
      <c r="E273" s="352"/>
      <c r="F273" s="352"/>
      <c r="G273" s="347"/>
      <c r="H273" s="347"/>
      <c r="I273" s="347"/>
      <c r="J273" s="346"/>
      <c r="K273" s="346"/>
    </row>
    <row r="274" spans="2:11" ht="15.75" x14ac:dyDescent="0.25">
      <c r="B274" s="306" t="s">
        <v>137</v>
      </c>
      <c r="C274" s="356"/>
      <c r="D274" s="345"/>
      <c r="E274" s="345"/>
      <c r="F274" s="345"/>
      <c r="G274" s="345"/>
      <c r="H274" s="345"/>
      <c r="I274" s="347"/>
      <c r="J274" s="346"/>
      <c r="K274" s="346"/>
    </row>
    <row r="275" spans="2:11" ht="15.75" x14ac:dyDescent="0.25">
      <c r="B275" s="306"/>
      <c r="C275" s="356"/>
      <c r="D275" s="345"/>
      <c r="E275" s="345"/>
      <c r="F275" s="345"/>
      <c r="G275" s="345"/>
      <c r="H275" s="345"/>
      <c r="I275" s="347"/>
      <c r="J275" s="346"/>
      <c r="K275" s="346"/>
    </row>
    <row r="276" spans="2:11" ht="15.75" x14ac:dyDescent="0.25">
      <c r="B276" s="306" t="s">
        <v>138</v>
      </c>
      <c r="C276" s="356"/>
      <c r="D276" s="345"/>
      <c r="E276" s="345"/>
      <c r="F276" s="345"/>
      <c r="G276" s="422"/>
      <c r="H276" s="422"/>
      <c r="I276" s="422"/>
      <c r="J276" s="346"/>
      <c r="K276" s="346"/>
    </row>
    <row r="277" spans="2:11" ht="15" x14ac:dyDescent="0.2">
      <c r="B277" s="345" t="s">
        <v>289</v>
      </c>
      <c r="C277" s="356">
        <f>J289</f>
        <v>0</v>
      </c>
      <c r="D277" s="345" t="s">
        <v>89</v>
      </c>
      <c r="E277" s="345"/>
      <c r="F277" s="345"/>
      <c r="G277" s="379"/>
      <c r="H277" s="379"/>
      <c r="I277" s="379"/>
      <c r="J277" s="346"/>
      <c r="K277" s="346"/>
    </row>
    <row r="278" spans="2:11" ht="15" x14ac:dyDescent="0.2">
      <c r="B278" s="345"/>
      <c r="C278" s="356"/>
      <c r="D278" s="345"/>
      <c r="E278" s="345"/>
      <c r="F278" s="345"/>
      <c r="G278" s="379"/>
      <c r="H278" s="379"/>
      <c r="I278" s="379"/>
      <c r="J278" s="346"/>
      <c r="K278" s="346"/>
    </row>
    <row r="279" spans="2:11" ht="15.75" x14ac:dyDescent="0.25">
      <c r="B279" s="337" t="str">
        <f>B249</f>
        <v>Vias Urbanas</v>
      </c>
      <c r="C279" s="423" t="s">
        <v>279</v>
      </c>
      <c r="D279" s="462" t="s">
        <v>280</v>
      </c>
      <c r="E279" s="463"/>
      <c r="F279" s="337" t="s">
        <v>281</v>
      </c>
      <c r="G279" s="478" t="s">
        <v>397</v>
      </c>
      <c r="H279" s="478"/>
      <c r="I279" s="478"/>
      <c r="J279" s="360" t="s">
        <v>282</v>
      </c>
      <c r="K279" s="346"/>
    </row>
    <row r="280" spans="2:11" ht="15.75" x14ac:dyDescent="0.25">
      <c r="B280" s="424" t="str">
        <f>B250</f>
        <v>RUA AMAZONAS</v>
      </c>
      <c r="C280" s="425">
        <v>0</v>
      </c>
      <c r="D280" s="466">
        <v>0</v>
      </c>
      <c r="E280" s="467"/>
      <c r="F280" s="426">
        <v>0</v>
      </c>
      <c r="G280" s="479">
        <f>5*11.04</f>
        <v>55.199999999999996</v>
      </c>
      <c r="H280" s="480"/>
      <c r="I280" s="481"/>
      <c r="J280" s="363">
        <f>G280+F280+D280+C280</f>
        <v>55.199999999999996</v>
      </c>
      <c r="K280" s="346"/>
    </row>
    <row r="281" spans="2:11" ht="15.75" x14ac:dyDescent="0.25">
      <c r="B281" s="424" t="str">
        <f t="shared" ref="B281:B288" si="49">B251</f>
        <v>RUA CORONEL JOSÉ   GONÇALVES</v>
      </c>
      <c r="C281" s="425">
        <f>4*1.5</f>
        <v>6</v>
      </c>
      <c r="D281" s="466">
        <f>4*1.2</f>
        <v>4.8</v>
      </c>
      <c r="E281" s="467"/>
      <c r="F281" s="426">
        <f>4*1.243</f>
        <v>4.9720000000000004</v>
      </c>
      <c r="G281" s="479">
        <v>0</v>
      </c>
      <c r="H281" s="480"/>
      <c r="I281" s="481"/>
      <c r="J281" s="363">
        <f>G281+F281+D281+C281</f>
        <v>15.772</v>
      </c>
      <c r="K281" s="346"/>
    </row>
    <row r="282" spans="2:11" ht="15.75" x14ac:dyDescent="0.25">
      <c r="B282" s="424" t="str">
        <f t="shared" si="49"/>
        <v>RUA QUATRO ( E0 - E1 )</v>
      </c>
      <c r="C282" s="425">
        <v>1.5</v>
      </c>
      <c r="D282" s="466">
        <v>1.2</v>
      </c>
      <c r="E282" s="467"/>
      <c r="F282" s="426">
        <v>1.2430000000000001</v>
      </c>
      <c r="G282" s="479">
        <v>0</v>
      </c>
      <c r="H282" s="480"/>
      <c r="I282" s="481"/>
      <c r="J282" s="363">
        <f t="shared" ref="J282:J288" si="50">G282+F282+D282+C282</f>
        <v>3.9430000000000001</v>
      </c>
      <c r="K282" s="346"/>
    </row>
    <row r="283" spans="2:11" ht="15.75" x14ac:dyDescent="0.25">
      <c r="B283" s="424" t="str">
        <f t="shared" si="49"/>
        <v>RUA QUATRO ( E1 - E2 )</v>
      </c>
      <c r="C283" s="425">
        <v>0</v>
      </c>
      <c r="D283" s="466">
        <v>0</v>
      </c>
      <c r="E283" s="467"/>
      <c r="F283" s="426">
        <v>0</v>
      </c>
      <c r="G283" s="479">
        <v>11.04</v>
      </c>
      <c r="H283" s="480"/>
      <c r="I283" s="481"/>
      <c r="J283" s="363">
        <f t="shared" si="50"/>
        <v>11.04</v>
      </c>
      <c r="K283" s="346"/>
    </row>
    <row r="284" spans="2:11" ht="15.75" x14ac:dyDescent="0.25">
      <c r="B284" s="424" t="str">
        <f t="shared" si="49"/>
        <v>RUA QUATRO ( E2 - E3 )</v>
      </c>
      <c r="C284" s="425">
        <v>1.5</v>
      </c>
      <c r="D284" s="466">
        <v>1.2</v>
      </c>
      <c r="E284" s="467"/>
      <c r="F284" s="426">
        <v>1.2430000000000001</v>
      </c>
      <c r="G284" s="479">
        <v>11.04</v>
      </c>
      <c r="H284" s="480"/>
      <c r="I284" s="481"/>
      <c r="J284" s="363">
        <f t="shared" si="50"/>
        <v>14.982999999999999</v>
      </c>
      <c r="K284" s="346"/>
    </row>
    <row r="285" spans="2:11" ht="15.75" x14ac:dyDescent="0.25">
      <c r="B285" s="424" t="str">
        <f t="shared" si="49"/>
        <v>RUA QUATRO ( E3- E4 ) +28,12</v>
      </c>
      <c r="C285" s="425">
        <v>3</v>
      </c>
      <c r="D285" s="466">
        <v>2.4</v>
      </c>
      <c r="E285" s="467"/>
      <c r="F285" s="426">
        <f>1.243*2</f>
        <v>2.4860000000000002</v>
      </c>
      <c r="G285" s="479">
        <v>0</v>
      </c>
      <c r="H285" s="480"/>
      <c r="I285" s="481"/>
      <c r="J285" s="363">
        <f t="shared" si="50"/>
        <v>7.8860000000000001</v>
      </c>
      <c r="K285" s="389">
        <f>J285+J284+J283+J282</f>
        <v>37.851999999999997</v>
      </c>
    </row>
    <row r="286" spans="2:11" ht="15.75" x14ac:dyDescent="0.25">
      <c r="B286" s="424" t="str">
        <f t="shared" si="49"/>
        <v>RUA DONA MESSIAS</v>
      </c>
      <c r="C286" s="369">
        <v>0</v>
      </c>
      <c r="D286" s="466">
        <v>0</v>
      </c>
      <c r="E286" s="467"/>
      <c r="F286" s="426">
        <v>0</v>
      </c>
      <c r="G286" s="479">
        <f>4*11.04</f>
        <v>44.16</v>
      </c>
      <c r="H286" s="480"/>
      <c r="I286" s="481"/>
      <c r="J286" s="363">
        <f t="shared" si="50"/>
        <v>44.16</v>
      </c>
      <c r="K286" s="346"/>
    </row>
    <row r="287" spans="2:11" ht="15.75" x14ac:dyDescent="0.25">
      <c r="B287" s="424" t="str">
        <f t="shared" si="49"/>
        <v>RUA SÃO GONÇALO -A</v>
      </c>
      <c r="C287" s="369">
        <v>0</v>
      </c>
      <c r="D287" s="466">
        <v>0</v>
      </c>
      <c r="E287" s="467"/>
      <c r="F287" s="426">
        <v>0</v>
      </c>
      <c r="G287" s="479">
        <f>2*11.04</f>
        <v>22.08</v>
      </c>
      <c r="H287" s="480"/>
      <c r="I287" s="481"/>
      <c r="J287" s="363">
        <f t="shared" si="50"/>
        <v>22.08</v>
      </c>
      <c r="K287" s="346"/>
    </row>
    <row r="288" spans="2:11" ht="15.75" x14ac:dyDescent="0.25">
      <c r="B288" s="424" t="str">
        <f t="shared" si="49"/>
        <v>RUA SÃO GONÇALO -B</v>
      </c>
      <c r="C288" s="369">
        <v>0</v>
      </c>
      <c r="D288" s="466">
        <v>0</v>
      </c>
      <c r="E288" s="467"/>
      <c r="F288" s="426">
        <v>0</v>
      </c>
      <c r="G288" s="479">
        <f>2*11.04</f>
        <v>22.08</v>
      </c>
      <c r="H288" s="480"/>
      <c r="I288" s="481"/>
      <c r="J288" s="363">
        <f t="shared" si="50"/>
        <v>22.08</v>
      </c>
      <c r="K288" s="346"/>
    </row>
    <row r="289" spans="2:11" ht="15.75" x14ac:dyDescent="0.25">
      <c r="B289" s="337" t="e">
        <f>#REF!</f>
        <v>#REF!</v>
      </c>
      <c r="C289" s="369"/>
      <c r="D289" s="477"/>
      <c r="E289" s="477"/>
      <c r="F289" s="360"/>
      <c r="G289" s="479"/>
      <c r="H289" s="480"/>
      <c r="I289" s="481"/>
      <c r="J289" s="363"/>
      <c r="K289" s="346"/>
    </row>
    <row r="290" spans="2:11" ht="15.75" x14ac:dyDescent="0.25">
      <c r="B290" s="306" t="s">
        <v>275</v>
      </c>
      <c r="C290" s="356"/>
      <c r="D290" s="345"/>
      <c r="E290" s="345"/>
      <c r="F290" s="345"/>
      <c r="G290" s="345"/>
      <c r="H290" s="345"/>
      <c r="I290" s="347"/>
      <c r="J290" s="346"/>
      <c r="K290" s="346"/>
    </row>
    <row r="291" spans="2:11" ht="15" x14ac:dyDescent="0.2">
      <c r="B291" s="345" t="s">
        <v>276</v>
      </c>
      <c r="C291" s="356"/>
      <c r="D291" s="345"/>
      <c r="E291" s="345"/>
      <c r="F291" s="345"/>
      <c r="G291" s="345"/>
      <c r="H291" s="345"/>
      <c r="I291" s="347"/>
      <c r="J291" s="346"/>
      <c r="K291" s="346"/>
    </row>
    <row r="292" spans="2:11" ht="15" x14ac:dyDescent="0.2">
      <c r="B292" s="345" t="s">
        <v>398</v>
      </c>
      <c r="C292" s="356"/>
      <c r="D292" s="345"/>
      <c r="E292" s="345"/>
      <c r="F292" s="345"/>
      <c r="G292" s="345"/>
      <c r="H292" s="345"/>
      <c r="I292" s="347"/>
      <c r="J292" s="346"/>
      <c r="K292" s="346"/>
    </row>
    <row r="293" spans="2:11" ht="15.75" x14ac:dyDescent="0.25">
      <c r="B293" s="345" t="s">
        <v>399</v>
      </c>
      <c r="C293" s="356"/>
      <c r="D293" s="306"/>
      <c r="E293" s="345"/>
      <c r="F293" s="345"/>
      <c r="G293" s="345"/>
      <c r="H293" s="345"/>
      <c r="I293" s="347"/>
      <c r="J293" s="346"/>
      <c r="K293" s="346"/>
    </row>
    <row r="294" spans="2:11" ht="15.75" x14ac:dyDescent="0.25">
      <c r="B294" s="337" t="str">
        <f>B249</f>
        <v>Vias Urbanas</v>
      </c>
      <c r="C294" s="360" t="s">
        <v>278</v>
      </c>
      <c r="D294" s="337" t="s">
        <v>306</v>
      </c>
      <c r="E294" s="345"/>
      <c r="F294" s="345"/>
      <c r="G294" s="345"/>
      <c r="H294" s="345"/>
      <c r="I294" s="347"/>
      <c r="J294" s="346"/>
      <c r="K294" s="346"/>
    </row>
    <row r="295" spans="2:11" ht="15.75" x14ac:dyDescent="0.25">
      <c r="B295" s="424" t="str">
        <f>B280</f>
        <v>RUA AMAZONAS</v>
      </c>
      <c r="C295" s="427">
        <v>2</v>
      </c>
      <c r="D295" s="336">
        <v>0.6</v>
      </c>
      <c r="E295" s="345"/>
      <c r="F295" s="345"/>
      <c r="G295" s="345"/>
      <c r="H295" s="345"/>
      <c r="I295" s="347"/>
      <c r="J295" s="346"/>
      <c r="K295" s="346"/>
    </row>
    <row r="296" spans="2:11" ht="15.75" x14ac:dyDescent="0.25">
      <c r="B296" s="424" t="str">
        <f t="shared" ref="B296:B303" si="51">B281</f>
        <v>RUA CORONEL JOSÉ   GONÇALVES</v>
      </c>
      <c r="C296" s="427">
        <v>4</v>
      </c>
      <c r="D296" s="336">
        <f>4*0.3</f>
        <v>1.2</v>
      </c>
      <c r="E296" s="345"/>
      <c r="F296" s="345"/>
      <c r="G296" s="345"/>
      <c r="H296" s="345"/>
      <c r="I296" s="347"/>
      <c r="J296" s="346"/>
      <c r="K296" s="346"/>
    </row>
    <row r="297" spans="2:11" ht="15.75" x14ac:dyDescent="0.25">
      <c r="B297" s="424" t="str">
        <f t="shared" si="51"/>
        <v>RUA QUATRO ( E0 - E1 )</v>
      </c>
      <c r="C297" s="427">
        <v>1</v>
      </c>
      <c r="D297" s="336">
        <v>0.3</v>
      </c>
      <c r="E297" s="345"/>
      <c r="F297" s="345"/>
      <c r="G297" s="345"/>
      <c r="H297" s="345"/>
      <c r="I297" s="347"/>
      <c r="J297" s="346"/>
      <c r="K297" s="346"/>
    </row>
    <row r="298" spans="2:11" ht="15.75" x14ac:dyDescent="0.25">
      <c r="B298" s="424" t="str">
        <f t="shared" si="51"/>
        <v>RUA QUATRO ( E1 - E2 )</v>
      </c>
      <c r="C298" s="427">
        <v>0</v>
      </c>
      <c r="D298" s="336">
        <v>0</v>
      </c>
      <c r="E298" s="345"/>
      <c r="F298" s="345"/>
      <c r="G298" s="345"/>
      <c r="H298" s="345"/>
      <c r="I298" s="347"/>
      <c r="J298" s="346"/>
      <c r="K298" s="346"/>
    </row>
    <row r="299" spans="2:11" ht="15.75" x14ac:dyDescent="0.25">
      <c r="B299" s="424" t="str">
        <f t="shared" si="51"/>
        <v>RUA QUATRO ( E2 - E3 )</v>
      </c>
      <c r="C299" s="427">
        <v>1</v>
      </c>
      <c r="D299" s="336">
        <v>0.3</v>
      </c>
      <c r="E299" s="325">
        <f>D297+D298+D299+D300</f>
        <v>1.2</v>
      </c>
      <c r="F299" s="345"/>
      <c r="G299" s="345"/>
      <c r="H299" s="345"/>
      <c r="I299" s="347"/>
      <c r="J299" s="346"/>
      <c r="K299" s="346"/>
    </row>
    <row r="300" spans="2:11" ht="15.75" x14ac:dyDescent="0.25">
      <c r="B300" s="424" t="str">
        <f t="shared" si="51"/>
        <v>RUA QUATRO ( E3- E4 ) +28,12</v>
      </c>
      <c r="C300" s="364">
        <v>2</v>
      </c>
      <c r="D300" s="336">
        <v>0.6</v>
      </c>
      <c r="E300" s="345"/>
      <c r="F300" s="345"/>
      <c r="G300" s="345"/>
      <c r="H300" s="345"/>
      <c r="I300" s="347"/>
      <c r="J300" s="346"/>
      <c r="K300" s="346"/>
    </row>
    <row r="301" spans="2:11" ht="15.75" x14ac:dyDescent="0.25">
      <c r="B301" s="424" t="str">
        <f t="shared" si="51"/>
        <v>RUA DONA MESSIAS</v>
      </c>
      <c r="C301" s="363">
        <v>0</v>
      </c>
      <c r="D301" s="336">
        <v>0</v>
      </c>
      <c r="E301" s="345"/>
      <c r="F301" s="345"/>
      <c r="G301" s="345"/>
      <c r="H301" s="345"/>
      <c r="I301" s="347"/>
      <c r="J301" s="346"/>
      <c r="K301" s="346"/>
    </row>
    <row r="302" spans="2:11" ht="15.75" x14ac:dyDescent="0.25">
      <c r="B302" s="424" t="str">
        <f t="shared" si="51"/>
        <v>RUA SÃO GONÇALO -A</v>
      </c>
      <c r="C302" s="363">
        <v>0</v>
      </c>
      <c r="D302" s="336">
        <v>0</v>
      </c>
      <c r="E302" s="345"/>
      <c r="F302" s="345"/>
      <c r="G302" s="345"/>
      <c r="H302" s="345"/>
      <c r="I302" s="347"/>
      <c r="J302" s="346"/>
      <c r="K302" s="346"/>
    </row>
    <row r="303" spans="2:11" ht="15.75" x14ac:dyDescent="0.25">
      <c r="B303" s="424" t="str">
        <f t="shared" si="51"/>
        <v>RUA SÃO GONÇALO -B</v>
      </c>
      <c r="C303" s="363">
        <v>0</v>
      </c>
      <c r="D303" s="336">
        <v>0</v>
      </c>
      <c r="E303" s="345"/>
      <c r="F303" s="345"/>
      <c r="G303" s="345"/>
      <c r="H303" s="345"/>
      <c r="I303" s="347"/>
      <c r="J303" s="346"/>
      <c r="K303" s="346"/>
    </row>
    <row r="304" spans="2:11" ht="15.75" x14ac:dyDescent="0.25">
      <c r="B304" s="337" t="e">
        <f>#REF!</f>
        <v>#REF!</v>
      </c>
      <c r="C304" s="363">
        <f>SUM(C295:C303)</f>
        <v>10</v>
      </c>
      <c r="D304" s="369">
        <f>SUM(D295:D303)</f>
        <v>2.9999999999999996</v>
      </c>
      <c r="E304" s="345"/>
      <c r="F304" s="345"/>
      <c r="G304" s="345"/>
      <c r="H304" s="345"/>
      <c r="I304" s="347"/>
      <c r="J304" s="346"/>
      <c r="K304" s="346"/>
    </row>
    <row r="305" spans="2:11" ht="15" x14ac:dyDescent="0.2">
      <c r="B305" s="345"/>
      <c r="C305" s="356"/>
      <c r="D305" s="345"/>
      <c r="E305" s="345"/>
      <c r="F305" s="345"/>
      <c r="G305" s="345"/>
      <c r="H305" s="345"/>
      <c r="I305" s="347"/>
      <c r="J305" s="346"/>
      <c r="K305" s="346"/>
    </row>
    <row r="306" spans="2:11" ht="15.75" x14ac:dyDescent="0.25">
      <c r="B306" s="306" t="s">
        <v>139</v>
      </c>
      <c r="C306" s="356"/>
      <c r="D306" s="345"/>
      <c r="E306" s="353"/>
      <c r="F306" s="422"/>
      <c r="G306" s="353"/>
      <c r="H306" s="353"/>
      <c r="I306" s="347"/>
      <c r="J306" s="346"/>
      <c r="K306" s="346"/>
    </row>
    <row r="307" spans="2:11" ht="15.75" x14ac:dyDescent="0.25">
      <c r="B307" s="345" t="s">
        <v>288</v>
      </c>
      <c r="C307" s="358">
        <v>10</v>
      </c>
      <c r="D307" s="306" t="s">
        <v>133</v>
      </c>
      <c r="E307" s="353"/>
      <c r="F307" s="379"/>
      <c r="G307" s="379"/>
      <c r="H307" s="379"/>
      <c r="I307" s="347"/>
      <c r="J307" s="346"/>
      <c r="K307" s="346"/>
    </row>
    <row r="308" spans="2:11" ht="15.75" x14ac:dyDescent="0.25">
      <c r="B308" s="345" t="s">
        <v>178</v>
      </c>
      <c r="C308" s="356">
        <v>10</v>
      </c>
      <c r="D308" s="306" t="s">
        <v>133</v>
      </c>
      <c r="E308" s="353"/>
      <c r="F308" s="379"/>
      <c r="G308" s="379"/>
      <c r="H308" s="379"/>
      <c r="I308" s="347"/>
      <c r="J308" s="346"/>
      <c r="K308" s="346"/>
    </row>
    <row r="309" spans="2:11" ht="15" x14ac:dyDescent="0.2">
      <c r="B309" s="345"/>
      <c r="C309" s="347"/>
      <c r="D309" s="347"/>
      <c r="E309" s="353"/>
      <c r="F309" s="379"/>
      <c r="G309" s="379"/>
      <c r="H309" s="379"/>
      <c r="I309" s="347"/>
      <c r="J309" s="346"/>
      <c r="K309" s="346"/>
    </row>
    <row r="310" spans="2:11" ht="15" x14ac:dyDescent="0.2">
      <c r="B310" s="428"/>
      <c r="C310" s="347"/>
      <c r="D310" s="347"/>
      <c r="E310" s="353"/>
      <c r="F310" s="379"/>
      <c r="G310" s="379"/>
      <c r="H310" s="379"/>
      <c r="I310" s="347"/>
      <c r="J310" s="346"/>
      <c r="K310" s="346"/>
    </row>
    <row r="311" spans="2:11" ht="15" x14ac:dyDescent="0.2">
      <c r="B311" s="347"/>
      <c r="C311" s="347"/>
      <c r="D311" s="347"/>
      <c r="E311" s="353"/>
      <c r="F311" s="379"/>
      <c r="G311" s="379"/>
      <c r="H311" s="379"/>
      <c r="I311" s="347"/>
      <c r="J311" s="346"/>
      <c r="K311" s="346"/>
    </row>
    <row r="312" spans="2:11" ht="15.75" x14ac:dyDescent="0.25">
      <c r="B312" s="337" t="str">
        <f>B294</f>
        <v>Vias Urbanas</v>
      </c>
      <c r="C312" s="360" t="s">
        <v>277</v>
      </c>
      <c r="D312" s="337" t="s">
        <v>278</v>
      </c>
      <c r="E312" s="337" t="s">
        <v>162</v>
      </c>
      <c r="F312" s="379"/>
      <c r="G312" s="379"/>
      <c r="H312" s="379"/>
      <c r="I312" s="347"/>
      <c r="J312" s="346"/>
      <c r="K312" s="346"/>
    </row>
    <row r="313" spans="2:11" ht="18" x14ac:dyDescent="0.25">
      <c r="B313" s="424" t="str">
        <f>B295</f>
        <v>RUA AMAZONAS</v>
      </c>
      <c r="C313" s="429">
        <v>2</v>
      </c>
      <c r="D313" s="429">
        <v>2</v>
      </c>
      <c r="E313" s="337"/>
      <c r="F313" s="379"/>
      <c r="G313" s="379"/>
      <c r="H313" s="379"/>
      <c r="I313" s="347"/>
      <c r="J313" s="346"/>
      <c r="K313" s="346"/>
    </row>
    <row r="314" spans="2:11" ht="18" x14ac:dyDescent="0.25">
      <c r="B314" s="424" t="str">
        <f>B296</f>
        <v>RUA CORONEL JOSÉ   GONÇALVES</v>
      </c>
      <c r="C314" s="429">
        <v>2</v>
      </c>
      <c r="D314" s="429">
        <v>2</v>
      </c>
      <c r="E314" s="337"/>
      <c r="F314" s="379"/>
      <c r="G314" s="379"/>
      <c r="H314" s="379"/>
      <c r="I314" s="347"/>
      <c r="J314" s="346"/>
      <c r="K314" s="346"/>
    </row>
    <row r="315" spans="2:11" ht="18" x14ac:dyDescent="0.25">
      <c r="B315" s="424" t="s">
        <v>400</v>
      </c>
      <c r="C315" s="429">
        <v>2</v>
      </c>
      <c r="D315" s="429">
        <v>2</v>
      </c>
      <c r="E315" s="337"/>
      <c r="F315" s="379"/>
      <c r="G315" s="379"/>
      <c r="H315" s="379"/>
      <c r="I315" s="347"/>
      <c r="J315" s="346"/>
      <c r="K315" s="346"/>
    </row>
    <row r="316" spans="2:11" ht="18" x14ac:dyDescent="0.25">
      <c r="B316" s="424" t="str">
        <f>B301</f>
        <v>RUA DONA MESSIAS</v>
      </c>
      <c r="C316" s="429">
        <v>2</v>
      </c>
      <c r="D316" s="429">
        <v>2</v>
      </c>
      <c r="E316" s="430"/>
      <c r="F316" s="379"/>
      <c r="G316" s="379"/>
      <c r="H316" s="379"/>
      <c r="I316" s="347"/>
      <c r="J316" s="346"/>
      <c r="K316" s="346"/>
    </row>
    <row r="317" spans="2:11" ht="18" x14ac:dyDescent="0.25">
      <c r="B317" s="424" t="s">
        <v>390</v>
      </c>
      <c r="C317" s="429">
        <v>2</v>
      </c>
      <c r="D317" s="429">
        <v>2</v>
      </c>
      <c r="E317" s="430"/>
      <c r="F317" s="379"/>
      <c r="G317" s="379"/>
      <c r="H317" s="379"/>
      <c r="I317" s="347"/>
      <c r="J317" s="346"/>
      <c r="K317" s="346"/>
    </row>
    <row r="318" spans="2:11" ht="18" x14ac:dyDescent="0.25">
      <c r="B318" s="431" t="e">
        <f>B304</f>
        <v>#REF!</v>
      </c>
      <c r="C318" s="429">
        <f>SUM(C313:C317)</f>
        <v>10</v>
      </c>
      <c r="D318" s="429">
        <f>SUM(D313:D317)</f>
        <v>10</v>
      </c>
      <c r="E318" s="430"/>
      <c r="F318" s="379"/>
      <c r="G318" s="379"/>
      <c r="H318" s="379"/>
      <c r="I318" s="347"/>
      <c r="J318" s="346"/>
      <c r="K318" s="346"/>
    </row>
    <row r="319" spans="2:11" ht="15" x14ac:dyDescent="0.2">
      <c r="B319" s="347"/>
      <c r="C319" s="347"/>
      <c r="D319" s="347"/>
      <c r="E319" s="432"/>
      <c r="F319" s="381"/>
      <c r="G319" s="379"/>
      <c r="H319" s="379"/>
      <c r="I319" s="347"/>
      <c r="J319" s="346"/>
      <c r="K319" s="346"/>
    </row>
    <row r="320" spans="2:11" ht="15" x14ac:dyDescent="0.2">
      <c r="B320" s="347"/>
      <c r="C320" s="347"/>
      <c r="D320" s="347"/>
      <c r="E320" s="353"/>
      <c r="F320" s="379"/>
      <c r="G320" s="379"/>
      <c r="H320" s="379"/>
      <c r="I320" s="347"/>
      <c r="J320" s="346"/>
      <c r="K320" s="346"/>
    </row>
    <row r="321" spans="2:11" x14ac:dyDescent="0.2">
      <c r="B321" s="367" t="s">
        <v>307</v>
      </c>
      <c r="C321" s="347"/>
      <c r="D321" s="347"/>
      <c r="E321" s="347"/>
      <c r="F321" s="347"/>
      <c r="G321" s="347"/>
      <c r="H321" s="347"/>
      <c r="I321" s="347"/>
      <c r="J321" s="346"/>
      <c r="K321" s="346"/>
    </row>
    <row r="322" spans="2:11" x14ac:dyDescent="0.2">
      <c r="B322" s="347"/>
      <c r="C322" s="347"/>
      <c r="D322" s="458" t="s">
        <v>181</v>
      </c>
      <c r="E322" s="458"/>
      <c r="F322" s="458"/>
      <c r="G322" s="458"/>
      <c r="H322" s="433"/>
      <c r="I322" s="347"/>
      <c r="J322" s="346"/>
      <c r="K322" s="346"/>
    </row>
    <row r="323" spans="2:11" ht="15" x14ac:dyDescent="0.2">
      <c r="B323" s="345" t="s">
        <v>392</v>
      </c>
      <c r="C323" s="347"/>
      <c r="D323" s="461" t="s">
        <v>108</v>
      </c>
      <c r="E323" s="461"/>
      <c r="F323" s="461"/>
      <c r="G323" s="461"/>
      <c r="H323" s="434"/>
      <c r="I323" s="347"/>
      <c r="J323" s="346"/>
      <c r="K323" s="346"/>
    </row>
    <row r="324" spans="2:11" ht="15" x14ac:dyDescent="0.2">
      <c r="B324" s="347"/>
      <c r="C324" s="345"/>
      <c r="D324" s="449" t="s">
        <v>182</v>
      </c>
      <c r="E324" s="449"/>
      <c r="F324" s="449"/>
      <c r="G324" s="449"/>
      <c r="H324" s="435"/>
      <c r="I324" s="347"/>
      <c r="J324" s="346"/>
      <c r="K324" s="346"/>
    </row>
    <row r="325" spans="2:11" ht="40.5" x14ac:dyDescent="0.3">
      <c r="B325" s="347"/>
      <c r="C325" s="436" t="s">
        <v>401</v>
      </c>
      <c r="D325" s="347"/>
      <c r="E325" s="347"/>
      <c r="F325" s="347"/>
      <c r="G325" s="347"/>
      <c r="H325" s="347"/>
      <c r="I325" s="347"/>
      <c r="J325" s="346"/>
      <c r="K325" s="346"/>
    </row>
    <row r="326" spans="2:11" ht="18" x14ac:dyDescent="0.25">
      <c r="B326" s="347"/>
      <c r="C326" s="437">
        <v>142017</v>
      </c>
      <c r="D326" s="347"/>
      <c r="E326" s="347"/>
      <c r="F326" s="347"/>
      <c r="G326" s="347"/>
      <c r="H326" s="347"/>
      <c r="I326" s="347"/>
      <c r="J326" s="346"/>
      <c r="K326" s="346"/>
    </row>
    <row r="327" spans="2:11" x14ac:dyDescent="0.2">
      <c r="B327" s="2"/>
      <c r="C327" s="2"/>
      <c r="D327" s="2"/>
      <c r="E327" s="2"/>
      <c r="F327" s="2"/>
      <c r="G327" s="2"/>
      <c r="H327" s="2"/>
      <c r="I327" s="2"/>
    </row>
    <row r="328" spans="2:11" x14ac:dyDescent="0.2">
      <c r="B328" s="2"/>
      <c r="C328" s="2"/>
      <c r="D328" s="2"/>
      <c r="E328" s="2"/>
      <c r="F328" s="2"/>
      <c r="G328" s="2"/>
      <c r="H328" s="2"/>
      <c r="I328" s="2"/>
    </row>
    <row r="329" spans="2:11" x14ac:dyDescent="0.2">
      <c r="B329" s="2"/>
      <c r="C329" s="2"/>
      <c r="D329" s="2"/>
      <c r="E329" s="2"/>
      <c r="F329" s="2"/>
      <c r="G329" s="2"/>
      <c r="H329" s="2"/>
      <c r="I329" s="2"/>
    </row>
    <row r="330" spans="2:11" x14ac:dyDescent="0.2">
      <c r="B330" s="2"/>
      <c r="C330" s="2"/>
      <c r="D330" s="2"/>
      <c r="E330" s="2"/>
      <c r="F330" s="2"/>
      <c r="G330" s="2"/>
      <c r="H330" s="2"/>
      <c r="I330" s="2"/>
    </row>
    <row r="331" spans="2:11" x14ac:dyDescent="0.2">
      <c r="B331" s="2"/>
      <c r="C331" s="2"/>
      <c r="D331" s="2"/>
      <c r="E331" s="2"/>
      <c r="F331" s="2"/>
      <c r="G331" s="2"/>
      <c r="H331" s="2"/>
      <c r="I331" s="2"/>
    </row>
    <row r="332" spans="2:11" x14ac:dyDescent="0.2">
      <c r="B332" s="2"/>
      <c r="C332" s="2"/>
      <c r="D332" s="2"/>
      <c r="E332" s="2"/>
      <c r="F332" s="2"/>
      <c r="G332" s="2"/>
      <c r="H332" s="2"/>
      <c r="I332" s="2"/>
    </row>
    <row r="333" spans="2:11" x14ac:dyDescent="0.2">
      <c r="B333" s="2"/>
      <c r="C333" s="2"/>
      <c r="D333" s="2"/>
      <c r="E333" s="2"/>
      <c r="F333" s="2"/>
      <c r="G333" s="2"/>
      <c r="H333" s="2"/>
      <c r="I333" s="2"/>
    </row>
    <row r="334" spans="2:11" x14ac:dyDescent="0.2">
      <c r="B334" s="2"/>
      <c r="C334" s="2"/>
      <c r="D334" s="2"/>
      <c r="E334" s="2"/>
      <c r="F334" s="2"/>
      <c r="G334" s="2"/>
      <c r="H334" s="2"/>
      <c r="I334" s="2"/>
    </row>
    <row r="335" spans="2:11" x14ac:dyDescent="0.2">
      <c r="B335" s="2"/>
      <c r="C335" s="2"/>
      <c r="D335" s="2"/>
      <c r="E335" s="2"/>
      <c r="F335" s="2"/>
      <c r="G335" s="2"/>
      <c r="H335" s="2"/>
      <c r="I335" s="2"/>
    </row>
    <row r="336" spans="2:11" x14ac:dyDescent="0.2">
      <c r="B336" s="2"/>
      <c r="C336" s="2"/>
      <c r="D336" s="2"/>
      <c r="E336" s="2"/>
      <c r="F336" s="2"/>
      <c r="G336" s="2"/>
      <c r="H336" s="2"/>
      <c r="I336" s="2"/>
    </row>
    <row r="337" spans="2:9" x14ac:dyDescent="0.2">
      <c r="B337" s="2"/>
      <c r="C337" s="2"/>
      <c r="D337" s="2"/>
      <c r="E337" s="2"/>
      <c r="F337" s="2"/>
      <c r="G337" s="2"/>
      <c r="H337" s="2"/>
      <c r="I337" s="2"/>
    </row>
    <row r="338" spans="2:9" x14ac:dyDescent="0.2">
      <c r="B338" s="2"/>
      <c r="C338" s="2"/>
      <c r="D338" s="2"/>
      <c r="E338" s="2"/>
      <c r="F338" s="2"/>
      <c r="G338" s="2"/>
      <c r="H338" s="2"/>
      <c r="I338" s="2"/>
    </row>
    <row r="339" spans="2:9" x14ac:dyDescent="0.2">
      <c r="B339" s="2"/>
      <c r="C339" s="2"/>
      <c r="D339" s="2"/>
      <c r="E339" s="2"/>
      <c r="F339" s="2"/>
      <c r="G339" s="2"/>
      <c r="H339" s="2"/>
      <c r="I339" s="2"/>
    </row>
    <row r="340" spans="2:9" x14ac:dyDescent="0.2">
      <c r="B340" s="2"/>
      <c r="C340" s="2"/>
      <c r="D340" s="2"/>
      <c r="E340" s="2"/>
      <c r="F340" s="2"/>
      <c r="G340" s="2"/>
      <c r="H340" s="2"/>
      <c r="I340" s="2"/>
    </row>
    <row r="341" spans="2:9" x14ac:dyDescent="0.2">
      <c r="C341" s="2"/>
      <c r="D341" s="2"/>
      <c r="E341" s="2"/>
      <c r="F341" s="2"/>
      <c r="G341" s="2"/>
      <c r="H341" s="2"/>
      <c r="I341" s="2"/>
    </row>
  </sheetData>
  <mergeCells count="82">
    <mergeCell ref="G283:I283"/>
    <mergeCell ref="D288:E288"/>
    <mergeCell ref="G288:I288"/>
    <mergeCell ref="D285:E285"/>
    <mergeCell ref="D283:E283"/>
    <mergeCell ref="D282:E282"/>
    <mergeCell ref="F163:G163"/>
    <mergeCell ref="F164:G164"/>
    <mergeCell ref="F165:G165"/>
    <mergeCell ref="F223:G223"/>
    <mergeCell ref="F230:G230"/>
    <mergeCell ref="F226:G226"/>
    <mergeCell ref="F227:G227"/>
    <mergeCell ref="F228:G228"/>
    <mergeCell ref="F224:G224"/>
    <mergeCell ref="F225:G225"/>
    <mergeCell ref="G281:I281"/>
    <mergeCell ref="G282:I282"/>
    <mergeCell ref="E254:H254"/>
    <mergeCell ref="E266:G266"/>
    <mergeCell ref="F129:G129"/>
    <mergeCell ref="F130:G130"/>
    <mergeCell ref="F131:G131"/>
    <mergeCell ref="F132:G132"/>
    <mergeCell ref="D289:E289"/>
    <mergeCell ref="G279:I279"/>
    <mergeCell ref="G286:I286"/>
    <mergeCell ref="G287:I287"/>
    <mergeCell ref="G289:I289"/>
    <mergeCell ref="D286:E286"/>
    <mergeCell ref="D287:E287"/>
    <mergeCell ref="G280:I280"/>
    <mergeCell ref="G284:I284"/>
    <mergeCell ref="G285:I285"/>
    <mergeCell ref="D280:E280"/>
    <mergeCell ref="D284:E284"/>
    <mergeCell ref="F16:G16"/>
    <mergeCell ref="F17:G17"/>
    <mergeCell ref="F75:G75"/>
    <mergeCell ref="F74:G74"/>
    <mergeCell ref="F229:G229"/>
    <mergeCell ref="F133:G133"/>
    <mergeCell ref="F134:G134"/>
    <mergeCell ref="F135:G135"/>
    <mergeCell ref="F137:G137"/>
    <mergeCell ref="F160:G160"/>
    <mergeCell ref="F161:G161"/>
    <mergeCell ref="F20:G20"/>
    <mergeCell ref="F128:G128"/>
    <mergeCell ref="F136:G136"/>
    <mergeCell ref="F222:G222"/>
    <mergeCell ref="F166:G166"/>
    <mergeCell ref="F25:G25"/>
    <mergeCell ref="F65:G65"/>
    <mergeCell ref="F18:G18"/>
    <mergeCell ref="F19:G19"/>
    <mergeCell ref="F21:G21"/>
    <mergeCell ref="F22:G22"/>
    <mergeCell ref="F23:G23"/>
    <mergeCell ref="F24:G24"/>
    <mergeCell ref="B1:I1"/>
    <mergeCell ref="B2:I2"/>
    <mergeCell ref="B4:I4"/>
    <mergeCell ref="B3:I3"/>
    <mergeCell ref="F15:G15"/>
    <mergeCell ref="B5:D5"/>
    <mergeCell ref="D324:G324"/>
    <mergeCell ref="F138:G138"/>
    <mergeCell ref="B220:G220"/>
    <mergeCell ref="F167:G167"/>
    <mergeCell ref="F169:G169"/>
    <mergeCell ref="B170:E170"/>
    <mergeCell ref="F232:G232"/>
    <mergeCell ref="D322:G322"/>
    <mergeCell ref="B234:I234"/>
    <mergeCell ref="F159:G159"/>
    <mergeCell ref="D323:G323"/>
    <mergeCell ref="D279:E279"/>
    <mergeCell ref="F231:G231"/>
    <mergeCell ref="F162:G162"/>
    <mergeCell ref="F168:G168"/>
    <mergeCell ref="D281:E281"/>
  </mergeCells>
  <pageMargins left="0.51181102362204722" right="0.31496062992125984" top="0.78740157480314965" bottom="0.78740157480314965" header="0.31496062992125984" footer="0.31496062992125984"/>
  <pageSetup paperSize="9" scale="44" fitToHeight="3" orientation="landscape" horizontalDpi="4294967293" verticalDpi="4294967293" r:id="rId1"/>
  <rowBreaks count="7" manualBreakCount="7">
    <brk id="29" min="1" max="10" man="1"/>
    <brk id="62" min="1" max="10" man="1"/>
    <brk id="108" min="1" max="10" man="1"/>
    <brk id="155" min="1" max="10" man="1"/>
    <brk id="202" min="1" max="10" man="1"/>
    <brk id="232" min="1" max="10" man="1"/>
    <brk id="2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Y272"/>
  <sheetViews>
    <sheetView view="pageBreakPreview" topLeftCell="A22" zoomScaleSheetLayoutView="100" workbookViewId="0">
      <selection activeCell="D27" sqref="D27"/>
    </sheetView>
  </sheetViews>
  <sheetFormatPr defaultRowHeight="12" x14ac:dyDescent="0.2"/>
  <cols>
    <col min="1" max="1" width="2.28515625" style="12" customWidth="1"/>
    <col min="2" max="2" width="8.85546875" style="13" customWidth="1"/>
    <col min="3" max="3" width="3.28515625" style="13" customWidth="1"/>
    <col min="4" max="4" width="13.5703125" style="13" customWidth="1"/>
    <col min="5" max="5" width="3.28515625" style="13" customWidth="1"/>
    <col min="6" max="6" width="6.28515625" style="29" customWidth="1"/>
    <col min="7" max="11" width="3.28515625" style="29" customWidth="1"/>
    <col min="12" max="12" width="3.28515625" style="12" customWidth="1"/>
    <col min="13" max="13" width="5.85546875" style="12" customWidth="1"/>
    <col min="14" max="15" width="3.28515625" style="12" customWidth="1"/>
    <col min="16" max="16" width="4.140625" style="12" customWidth="1"/>
    <col min="17" max="18" width="3.28515625" style="12" customWidth="1"/>
    <col min="19" max="19" width="6.140625" style="12" customWidth="1"/>
    <col min="20" max="20" width="3.28515625" style="12" customWidth="1"/>
    <col min="21" max="21" width="3.5703125" style="12" customWidth="1"/>
    <col min="22" max="22" width="3.28515625" style="12" customWidth="1"/>
    <col min="23" max="23" width="4.5703125" style="12" customWidth="1"/>
    <col min="24" max="24" width="4.42578125" style="12" customWidth="1"/>
    <col min="25" max="25" width="3.28515625" style="12" customWidth="1"/>
    <col min="26" max="26" width="4" style="12" customWidth="1"/>
    <col min="27" max="27" width="4.5703125" style="12" customWidth="1"/>
    <col min="28" max="29" width="3.28515625" style="12" customWidth="1"/>
    <col min="30" max="30" width="4" style="12" customWidth="1"/>
    <col min="31" max="33" width="3.28515625" style="12" customWidth="1"/>
    <col min="34" max="34" width="3.85546875" style="12" customWidth="1"/>
    <col min="35" max="40" width="3.28515625" style="12" customWidth="1"/>
    <col min="41" max="41" width="13.7109375" style="12" customWidth="1"/>
    <col min="42" max="42" width="3" style="12" customWidth="1"/>
    <col min="43" max="43" width="3.7109375" style="12" customWidth="1"/>
    <col min="44" max="44" width="6" style="12" customWidth="1"/>
    <col min="45" max="47" width="3.28515625" style="12" customWidth="1"/>
    <col min="48" max="48" width="3.28515625" style="15" customWidth="1"/>
    <col min="49" max="49" width="7.140625" style="12" customWidth="1"/>
    <col min="50" max="57" width="3.28515625" style="12" customWidth="1"/>
    <col min="58" max="16384" width="9.140625" style="12"/>
  </cols>
  <sheetData>
    <row r="1" spans="2:48" ht="6.75" customHeight="1" x14ac:dyDescent="0.2">
      <c r="F1" s="12"/>
      <c r="G1" s="12"/>
      <c r="H1" s="12"/>
      <c r="I1" s="12"/>
      <c r="J1" s="12"/>
      <c r="K1" s="12"/>
      <c r="AJ1" s="14"/>
    </row>
    <row r="2" spans="2:48" ht="12.75" customHeight="1" x14ac:dyDescent="0.2">
      <c r="B2" s="14"/>
      <c r="C2" s="14"/>
      <c r="D2" s="14"/>
      <c r="E2" s="14"/>
      <c r="F2" s="12"/>
      <c r="G2" s="12"/>
      <c r="H2" s="12"/>
      <c r="I2" s="12"/>
      <c r="J2" s="12"/>
      <c r="K2" s="12"/>
      <c r="N2" s="561" t="s">
        <v>15</v>
      </c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16"/>
      <c r="AH2" s="17"/>
      <c r="AI2" s="17"/>
      <c r="AJ2" s="17"/>
      <c r="AK2" s="17"/>
      <c r="AL2" s="16"/>
      <c r="AM2" s="16"/>
      <c r="AN2" s="16"/>
    </row>
    <row r="3" spans="2:48" ht="12" customHeight="1" x14ac:dyDescent="0.2">
      <c r="B3" s="14"/>
      <c r="C3" s="14"/>
      <c r="D3" s="14"/>
      <c r="E3" s="14"/>
      <c r="F3" s="12"/>
      <c r="G3" s="12"/>
      <c r="H3" s="12"/>
      <c r="I3" s="12"/>
      <c r="J3" s="12"/>
      <c r="K3" s="12"/>
      <c r="M3" s="18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19"/>
      <c r="AH3" s="19"/>
      <c r="AI3" s="19"/>
      <c r="AJ3" s="19"/>
      <c r="AK3" s="19"/>
      <c r="AL3" s="19"/>
      <c r="AM3" s="19"/>
      <c r="AN3" s="19"/>
    </row>
    <row r="4" spans="2:48" ht="4.5" customHeight="1" x14ac:dyDescent="0.2">
      <c r="B4" s="14"/>
      <c r="C4" s="14"/>
      <c r="D4" s="14"/>
      <c r="E4" s="14"/>
      <c r="F4" s="12"/>
      <c r="G4" s="12"/>
      <c r="H4" s="12"/>
      <c r="I4" s="18"/>
      <c r="J4" s="12"/>
      <c r="K4" s="12"/>
    </row>
    <row r="5" spans="2:48" s="16" customFormat="1" ht="13.5" customHeight="1" x14ac:dyDescent="0.2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20"/>
      <c r="AA5" s="20"/>
      <c r="AB5" s="20"/>
      <c r="AC5" s="20"/>
      <c r="AD5" s="20"/>
      <c r="AE5" s="563" t="s">
        <v>16</v>
      </c>
      <c r="AF5" s="563"/>
      <c r="AG5" s="563"/>
      <c r="AH5" s="563"/>
      <c r="AI5" s="563"/>
      <c r="AJ5" s="563"/>
      <c r="AK5" s="563"/>
      <c r="AL5" s="563"/>
      <c r="AM5" s="563"/>
      <c r="AN5" s="563"/>
      <c r="AV5" s="21"/>
    </row>
    <row r="6" spans="2:48" ht="5.25" customHeight="1" x14ac:dyDescent="0.2">
      <c r="B6" s="22"/>
      <c r="C6" s="22"/>
      <c r="D6" s="22"/>
      <c r="E6" s="22"/>
      <c r="F6" s="23"/>
      <c r="G6" s="23"/>
      <c r="H6" s="23"/>
      <c r="I6" s="23"/>
      <c r="J6" s="23"/>
      <c r="K6" s="23"/>
      <c r="L6" s="24"/>
      <c r="M6" s="25"/>
    </row>
    <row r="7" spans="2:48" s="14" customFormat="1" ht="12" customHeight="1" x14ac:dyDescent="0.2">
      <c r="B7" s="26" t="s">
        <v>17</v>
      </c>
      <c r="C7" s="13"/>
      <c r="D7" s="13"/>
      <c r="E7" s="13"/>
      <c r="F7" s="13"/>
      <c r="G7" s="13"/>
      <c r="H7" s="13"/>
      <c r="I7" s="13"/>
      <c r="X7" s="13"/>
      <c r="Y7" s="13"/>
      <c r="Z7" s="13"/>
      <c r="AA7" s="13"/>
      <c r="AB7" s="13"/>
      <c r="AE7" s="26" t="s">
        <v>392</v>
      </c>
      <c r="AN7" s="27"/>
    </row>
    <row r="8" spans="2:48" s="14" customFormat="1" ht="14.1" customHeight="1" x14ac:dyDescent="0.2">
      <c r="B8" s="564" t="s">
        <v>310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6"/>
      <c r="AE8" s="567"/>
      <c r="AF8" s="568"/>
      <c r="AG8" s="568"/>
      <c r="AH8" s="568"/>
      <c r="AI8" s="568"/>
      <c r="AJ8" s="568"/>
      <c r="AK8" s="568"/>
      <c r="AL8" s="568"/>
      <c r="AM8" s="568"/>
      <c r="AN8" s="569"/>
      <c r="AV8" s="28"/>
    </row>
    <row r="9" spans="2:48" ht="5.25" customHeight="1" x14ac:dyDescent="0.2"/>
    <row r="10" spans="2:48" s="14" customFormat="1" ht="12" customHeight="1" x14ac:dyDescent="0.2">
      <c r="B10" s="26" t="s">
        <v>18</v>
      </c>
      <c r="C10" s="13"/>
      <c r="D10" s="13"/>
      <c r="E10" s="13"/>
      <c r="X10" s="26" t="s">
        <v>19</v>
      </c>
      <c r="Z10" s="13"/>
      <c r="AA10" s="13"/>
      <c r="AB10" s="13"/>
      <c r="AC10" s="13"/>
      <c r="AD10" s="13"/>
      <c r="AF10" s="13"/>
      <c r="AG10" s="30"/>
      <c r="AL10" s="12"/>
      <c r="AM10" s="31" t="s">
        <v>20</v>
      </c>
      <c r="AN10" s="27"/>
      <c r="AV10" s="28"/>
    </row>
    <row r="11" spans="2:48" ht="30" customHeight="1" x14ac:dyDescent="0.2">
      <c r="B11" s="592" t="s">
        <v>148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4"/>
      <c r="X11" s="595" t="s">
        <v>311</v>
      </c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7"/>
      <c r="AM11" s="598" t="s">
        <v>21</v>
      </c>
      <c r="AN11" s="599"/>
    </row>
    <row r="12" spans="2:48" ht="6.75" customHeight="1" x14ac:dyDescent="0.2">
      <c r="X12" s="14"/>
      <c r="AK12" s="16"/>
      <c r="AL12" s="16"/>
      <c r="AM12" s="16"/>
      <c r="AN12" s="16"/>
    </row>
    <row r="13" spans="2:48" s="14" customFormat="1" ht="12" customHeight="1" x14ac:dyDescent="0.2">
      <c r="B13" s="31" t="s">
        <v>22</v>
      </c>
      <c r="F13" s="13"/>
      <c r="G13" s="13"/>
      <c r="H13" s="13"/>
      <c r="I13" s="13"/>
      <c r="X13" s="26" t="s">
        <v>23</v>
      </c>
      <c r="AA13" s="13"/>
      <c r="AG13" s="26" t="s">
        <v>24</v>
      </c>
      <c r="AJ13" s="13"/>
      <c r="AV13" s="28"/>
    </row>
    <row r="14" spans="2:48" s="14" customFormat="1" ht="14.1" customHeight="1" x14ac:dyDescent="0.2">
      <c r="B14" s="564" t="s">
        <v>110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6"/>
      <c r="X14" s="600" t="s">
        <v>111</v>
      </c>
      <c r="Y14" s="601"/>
      <c r="Z14" s="601"/>
      <c r="AA14" s="601"/>
      <c r="AB14" s="601"/>
      <c r="AC14" s="601"/>
      <c r="AD14" s="601"/>
      <c r="AE14" s="601"/>
      <c r="AF14" s="602"/>
      <c r="AG14" s="603" t="s">
        <v>366</v>
      </c>
      <c r="AH14" s="604"/>
      <c r="AI14" s="604"/>
      <c r="AJ14" s="604"/>
      <c r="AK14" s="604"/>
      <c r="AL14" s="604"/>
      <c r="AM14" s="604"/>
      <c r="AN14" s="605"/>
      <c r="AV14" s="28"/>
    </row>
    <row r="15" spans="2:48" ht="6" customHeight="1" x14ac:dyDescent="0.2"/>
    <row r="16" spans="2:48" ht="13.5" customHeight="1" x14ac:dyDescent="0.2">
      <c r="B16" s="13" t="s">
        <v>25</v>
      </c>
      <c r="AO16" s="32"/>
    </row>
    <row r="17" spans="2:48" ht="6" customHeight="1" x14ac:dyDescent="0.2"/>
    <row r="18" spans="2:48" ht="12.6" customHeight="1" x14ac:dyDescent="0.2">
      <c r="B18" s="33" t="s">
        <v>26</v>
      </c>
      <c r="C18" s="34"/>
      <c r="D18" s="34"/>
      <c r="E18" s="34"/>
      <c r="F18" s="34"/>
      <c r="G18" s="34"/>
      <c r="H18" s="34"/>
      <c r="I18" s="34"/>
      <c r="J18" s="34"/>
      <c r="K18" s="570" t="s">
        <v>27</v>
      </c>
      <c r="L18" s="571"/>
      <c r="M18" s="571"/>
      <c r="N18" s="571"/>
      <c r="O18" s="571"/>
      <c r="P18" s="572"/>
      <c r="Q18" s="576" t="s">
        <v>28</v>
      </c>
      <c r="R18" s="577"/>
      <c r="S18" s="577"/>
      <c r="T18" s="577"/>
      <c r="U18" s="577"/>
      <c r="V18" s="577"/>
      <c r="W18" s="577"/>
      <c r="X18" s="577"/>
      <c r="Y18" s="580" t="s">
        <v>145</v>
      </c>
      <c r="Z18" s="581"/>
      <c r="AA18" s="581"/>
      <c r="AB18" s="581"/>
      <c r="AC18" s="581"/>
      <c r="AD18" s="581"/>
      <c r="AE18" s="581"/>
      <c r="AF18" s="581"/>
      <c r="AG18" s="581"/>
      <c r="AH18" s="581"/>
      <c r="AI18" s="582"/>
      <c r="AJ18" s="586">
        <f>IF(AO16=TRUE,0,((((1+W23)*(1+W22)*(1+W21+W20)*(1+W24))/(1-W25))-1))</f>
        <v>0.25101549791999989</v>
      </c>
      <c r="AK18" s="587"/>
      <c r="AL18" s="587"/>
      <c r="AM18" s="587"/>
      <c r="AN18" s="588"/>
      <c r="AO18" s="300">
        <f>E209</f>
        <v>505940.62888999999</v>
      </c>
    </row>
    <row r="19" spans="2:48" ht="12.6" customHeight="1" x14ac:dyDescent="0.2">
      <c r="B19" s="35"/>
      <c r="C19" s="36"/>
      <c r="D19" s="36"/>
      <c r="E19" s="36"/>
      <c r="F19" s="36"/>
      <c r="G19" s="36"/>
      <c r="H19" s="36"/>
      <c r="I19" s="36"/>
      <c r="J19" s="36"/>
      <c r="K19" s="573"/>
      <c r="L19" s="574"/>
      <c r="M19" s="574"/>
      <c r="N19" s="574"/>
      <c r="O19" s="574"/>
      <c r="P19" s="575"/>
      <c r="Q19" s="578"/>
      <c r="R19" s="579"/>
      <c r="S19" s="579"/>
      <c r="T19" s="579"/>
      <c r="U19" s="579"/>
      <c r="V19" s="579"/>
      <c r="W19" s="579"/>
      <c r="X19" s="579"/>
      <c r="Y19" s="583"/>
      <c r="Z19" s="584"/>
      <c r="AA19" s="584"/>
      <c r="AB19" s="584"/>
      <c r="AC19" s="584"/>
      <c r="AD19" s="584"/>
      <c r="AE19" s="584"/>
      <c r="AF19" s="584"/>
      <c r="AG19" s="584"/>
      <c r="AH19" s="584"/>
      <c r="AI19" s="585"/>
      <c r="AJ19" s="589"/>
      <c r="AK19" s="590"/>
      <c r="AL19" s="590"/>
      <c r="AM19" s="590"/>
      <c r="AN19" s="591"/>
    </row>
    <row r="20" spans="2:48" ht="12.6" customHeight="1" x14ac:dyDescent="0.2">
      <c r="B20" s="37" t="s">
        <v>29</v>
      </c>
      <c r="C20" s="38"/>
      <c r="D20" s="38"/>
      <c r="E20" s="38"/>
      <c r="F20" s="38"/>
      <c r="G20" s="38"/>
      <c r="H20" s="38"/>
      <c r="I20" s="38"/>
      <c r="J20" s="38"/>
      <c r="K20" s="39" t="s">
        <v>30</v>
      </c>
      <c r="L20" s="606">
        <v>3.2000000000000002E-3</v>
      </c>
      <c r="M20" s="606"/>
      <c r="N20" s="40" t="s">
        <v>31</v>
      </c>
      <c r="O20" s="606">
        <v>7.4000000000000003E-3</v>
      </c>
      <c r="P20" s="612"/>
      <c r="Q20" s="41" t="s">
        <v>32</v>
      </c>
      <c r="R20" s="42"/>
      <c r="S20" s="42"/>
      <c r="T20" s="42"/>
      <c r="U20" s="42"/>
      <c r="V20" s="42"/>
      <c r="W20" s="609">
        <v>7.1000000000000004E-3</v>
      </c>
      <c r="X20" s="609"/>
      <c r="Y20" s="626" t="s">
        <v>260</v>
      </c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7"/>
      <c r="AT20" s="15"/>
      <c r="AV20" s="12"/>
    </row>
    <row r="21" spans="2:48" ht="12.6" customHeight="1" x14ac:dyDescent="0.2">
      <c r="B21" s="43" t="s">
        <v>33</v>
      </c>
      <c r="C21" s="44"/>
      <c r="D21" s="44"/>
      <c r="E21" s="44"/>
      <c r="F21" s="44"/>
      <c r="G21" s="44"/>
      <c r="H21" s="44"/>
      <c r="I21" s="44"/>
      <c r="J21" s="44"/>
      <c r="K21" s="45" t="s">
        <v>30</v>
      </c>
      <c r="L21" s="607">
        <v>5.0000000000000001E-3</v>
      </c>
      <c r="M21" s="607"/>
      <c r="N21" s="46" t="s">
        <v>31</v>
      </c>
      <c r="O21" s="607">
        <v>9.7000000000000003E-3</v>
      </c>
      <c r="P21" s="608"/>
      <c r="Q21" s="47" t="s">
        <v>34</v>
      </c>
      <c r="R21" s="48"/>
      <c r="S21" s="48"/>
      <c r="T21" s="48"/>
      <c r="U21" s="48"/>
      <c r="V21" s="48"/>
      <c r="W21" s="609">
        <v>9.7000000000000003E-3</v>
      </c>
      <c r="X21" s="609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9"/>
      <c r="AT21" s="15"/>
      <c r="AV21" s="12"/>
    </row>
    <row r="22" spans="2:48" ht="12.6" customHeight="1" x14ac:dyDescent="0.2">
      <c r="B22" s="43" t="s">
        <v>35</v>
      </c>
      <c r="C22" s="44"/>
      <c r="D22" s="44"/>
      <c r="E22" s="44"/>
      <c r="F22" s="44"/>
      <c r="G22" s="44"/>
      <c r="H22" s="44"/>
      <c r="I22" s="44"/>
      <c r="J22" s="44"/>
      <c r="K22" s="45" t="s">
        <v>30</v>
      </c>
      <c r="L22" s="607">
        <v>1.0200000000000001E-2</v>
      </c>
      <c r="M22" s="607"/>
      <c r="N22" s="46" t="s">
        <v>31</v>
      </c>
      <c r="O22" s="607">
        <v>1.21E-2</v>
      </c>
      <c r="P22" s="608"/>
      <c r="Q22" s="47" t="s">
        <v>36</v>
      </c>
      <c r="R22" s="48"/>
      <c r="S22" s="48"/>
      <c r="T22" s="48"/>
      <c r="U22" s="48"/>
      <c r="V22" s="48"/>
      <c r="W22" s="609">
        <v>1.0999999999999999E-2</v>
      </c>
      <c r="X22" s="609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9"/>
      <c r="AT22" s="15"/>
      <c r="AV22" s="12"/>
    </row>
    <row r="23" spans="2:48" ht="12.6" customHeight="1" x14ac:dyDescent="0.2">
      <c r="B23" s="43" t="s">
        <v>37</v>
      </c>
      <c r="C23" s="44"/>
      <c r="D23" s="44"/>
      <c r="E23" s="44"/>
      <c r="F23" s="44"/>
      <c r="G23" s="44"/>
      <c r="H23" s="44"/>
      <c r="I23" s="44"/>
      <c r="J23" s="44"/>
      <c r="K23" s="45" t="s">
        <v>30</v>
      </c>
      <c r="L23" s="607">
        <v>3.7999999999999999E-2</v>
      </c>
      <c r="M23" s="607"/>
      <c r="N23" s="46" t="s">
        <v>31</v>
      </c>
      <c r="O23" s="607">
        <v>4.6699999999999998E-2</v>
      </c>
      <c r="P23" s="608"/>
      <c r="Q23" s="47" t="s">
        <v>38</v>
      </c>
      <c r="R23" s="48"/>
      <c r="S23" s="48"/>
      <c r="T23" s="48"/>
      <c r="U23" s="48"/>
      <c r="V23" s="48"/>
      <c r="W23" s="609">
        <v>4.5999999999999999E-2</v>
      </c>
      <c r="X23" s="609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9"/>
      <c r="AT23" s="15"/>
      <c r="AV23" s="12"/>
    </row>
    <row r="24" spans="2:48" ht="12.6" customHeight="1" x14ac:dyDescent="0.2">
      <c r="B24" s="43" t="s">
        <v>39</v>
      </c>
      <c r="C24" s="44"/>
      <c r="D24" s="44"/>
      <c r="E24" s="44"/>
      <c r="F24" s="44"/>
      <c r="G24" s="44"/>
      <c r="H24" s="44"/>
      <c r="I24" s="44"/>
      <c r="J24" s="44"/>
      <c r="K24" s="45" t="s">
        <v>30</v>
      </c>
      <c r="L24" s="607">
        <v>6.6400000000000001E-2</v>
      </c>
      <c r="M24" s="607"/>
      <c r="N24" s="46" t="s">
        <v>31</v>
      </c>
      <c r="O24" s="607">
        <v>8.6900000000000005E-2</v>
      </c>
      <c r="P24" s="608"/>
      <c r="Q24" s="47" t="s">
        <v>40</v>
      </c>
      <c r="R24" s="48"/>
      <c r="S24" s="48"/>
      <c r="T24" s="48"/>
      <c r="U24" s="48"/>
      <c r="V24" s="48"/>
      <c r="W24" s="609">
        <v>8.2000000000000003E-2</v>
      </c>
      <c r="X24" s="609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9"/>
      <c r="AT24" s="15"/>
      <c r="AV24" s="12"/>
    </row>
    <row r="25" spans="2:48" ht="12.6" customHeight="1" x14ac:dyDescent="0.2">
      <c r="B25" s="43" t="s">
        <v>41</v>
      </c>
      <c r="C25" s="44"/>
      <c r="D25" s="44"/>
      <c r="E25" s="44"/>
      <c r="F25" s="44"/>
      <c r="G25" s="44"/>
      <c r="H25" s="44"/>
      <c r="I25" s="44"/>
      <c r="J25" s="44"/>
      <c r="K25" s="45" t="s">
        <v>230</v>
      </c>
      <c r="L25" s="303"/>
      <c r="M25" s="303"/>
      <c r="N25" s="46"/>
      <c r="O25" s="303"/>
      <c r="P25" s="304"/>
      <c r="Q25" s="47" t="s">
        <v>42</v>
      </c>
      <c r="R25" s="48"/>
      <c r="S25" s="48"/>
      <c r="T25" s="48" t="s">
        <v>231</v>
      </c>
      <c r="U25" s="48"/>
      <c r="V25" s="48"/>
      <c r="W25" s="609">
        <v>7.0000000000000007E-2</v>
      </c>
      <c r="X25" s="609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9"/>
      <c r="AT25" s="15"/>
      <c r="AV25" s="12"/>
    </row>
    <row r="26" spans="2:48" ht="6" customHeight="1" x14ac:dyDescent="0.2"/>
    <row r="27" spans="2:48" ht="12" customHeight="1" x14ac:dyDescent="0.2">
      <c r="B27" s="613" t="s">
        <v>0</v>
      </c>
      <c r="C27" s="49"/>
      <c r="D27" s="50"/>
      <c r="E27" s="51"/>
      <c r="F27" s="50"/>
      <c r="G27" s="576" t="s">
        <v>43</v>
      </c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616"/>
      <c r="T27" s="576" t="s">
        <v>44</v>
      </c>
      <c r="U27" s="616"/>
      <c r="V27" s="576" t="s">
        <v>45</v>
      </c>
      <c r="W27" s="577"/>
      <c r="X27" s="616"/>
      <c r="Y27" s="622" t="s">
        <v>46</v>
      </c>
      <c r="Z27" s="623"/>
      <c r="AA27" s="623"/>
      <c r="AB27" s="623"/>
      <c r="AC27" s="623"/>
      <c r="AD27" s="623"/>
      <c r="AE27" s="623"/>
      <c r="AF27" s="623"/>
      <c r="AG27" s="623"/>
      <c r="AH27" s="623"/>
      <c r="AI27" s="623"/>
      <c r="AJ27" s="623"/>
      <c r="AK27" s="623"/>
      <c r="AL27" s="623"/>
      <c r="AM27" s="623"/>
      <c r="AN27" s="624"/>
    </row>
    <row r="28" spans="2:48" ht="12" customHeight="1" x14ac:dyDescent="0.2">
      <c r="B28" s="614"/>
      <c r="C28" s="52" t="s">
        <v>47</v>
      </c>
      <c r="D28" s="53"/>
      <c r="E28" s="617" t="s">
        <v>48</v>
      </c>
      <c r="F28" s="619"/>
      <c r="G28" s="617"/>
      <c r="H28" s="618"/>
      <c r="I28" s="618"/>
      <c r="J28" s="618"/>
      <c r="K28" s="618"/>
      <c r="L28" s="618"/>
      <c r="M28" s="618"/>
      <c r="N28" s="618"/>
      <c r="O28" s="618"/>
      <c r="P28" s="618"/>
      <c r="Q28" s="618"/>
      <c r="R28" s="618"/>
      <c r="S28" s="619"/>
      <c r="T28" s="617"/>
      <c r="U28" s="619"/>
      <c r="V28" s="617"/>
      <c r="W28" s="618"/>
      <c r="X28" s="619"/>
      <c r="Y28" s="622" t="s">
        <v>49</v>
      </c>
      <c r="Z28" s="623"/>
      <c r="AA28" s="623"/>
      <c r="AB28" s="623"/>
      <c r="AC28" s="623"/>
      <c r="AD28" s="623"/>
      <c r="AE28" s="623"/>
      <c r="AF28" s="625" t="s">
        <v>50</v>
      </c>
      <c r="AG28" s="623"/>
      <c r="AH28" s="623"/>
      <c r="AI28" s="623"/>
      <c r="AJ28" s="623"/>
      <c r="AK28" s="623"/>
      <c r="AL28" s="623"/>
      <c r="AM28" s="623"/>
      <c r="AN28" s="624"/>
    </row>
    <row r="29" spans="2:48" ht="12" customHeight="1" x14ac:dyDescent="0.2">
      <c r="B29" s="615"/>
      <c r="C29" s="54"/>
      <c r="D29" s="55"/>
      <c r="E29" s="56"/>
      <c r="F29" s="55"/>
      <c r="G29" s="578"/>
      <c r="H29" s="579"/>
      <c r="I29" s="579"/>
      <c r="J29" s="579"/>
      <c r="K29" s="579"/>
      <c r="L29" s="579"/>
      <c r="M29" s="579"/>
      <c r="N29" s="579"/>
      <c r="O29" s="579"/>
      <c r="P29" s="579"/>
      <c r="Q29" s="579"/>
      <c r="R29" s="579"/>
      <c r="S29" s="620"/>
      <c r="T29" s="578"/>
      <c r="U29" s="620"/>
      <c r="V29" s="578"/>
      <c r="W29" s="579"/>
      <c r="X29" s="620"/>
      <c r="Y29" s="578" t="s">
        <v>1</v>
      </c>
      <c r="Z29" s="579"/>
      <c r="AA29" s="620"/>
      <c r="AB29" s="578" t="s">
        <v>51</v>
      </c>
      <c r="AC29" s="579"/>
      <c r="AD29" s="579"/>
      <c r="AE29" s="579"/>
      <c r="AF29" s="621" t="s">
        <v>1</v>
      </c>
      <c r="AG29" s="579"/>
      <c r="AH29" s="620"/>
      <c r="AI29" s="578" t="s">
        <v>51</v>
      </c>
      <c r="AJ29" s="579"/>
      <c r="AK29" s="579"/>
      <c r="AL29" s="579"/>
      <c r="AM29" s="579"/>
      <c r="AN29" s="620"/>
    </row>
    <row r="30" spans="2:48" ht="12" customHeight="1" x14ac:dyDescent="0.2">
      <c r="B30" s="339" t="s">
        <v>52</v>
      </c>
      <c r="C30" s="492"/>
      <c r="D30" s="492"/>
      <c r="E30" s="492"/>
      <c r="F30" s="492"/>
      <c r="G30" s="529" t="s">
        <v>286</v>
      </c>
      <c r="H30" s="529"/>
      <c r="I30" s="529"/>
      <c r="J30" s="529"/>
      <c r="K30" s="529"/>
      <c r="L30" s="529"/>
      <c r="M30" s="529"/>
      <c r="N30" s="529"/>
      <c r="O30" s="529"/>
      <c r="P30" s="529"/>
      <c r="Q30" s="529"/>
      <c r="R30" s="529"/>
      <c r="S30" s="529"/>
      <c r="T30" s="494"/>
      <c r="U30" s="494"/>
      <c r="V30" s="611"/>
      <c r="W30" s="611"/>
      <c r="X30" s="611"/>
      <c r="Y30" s="488"/>
      <c r="Z30" s="488"/>
      <c r="AA30" s="488"/>
      <c r="AB30" s="486" t="str">
        <f t="shared" ref="AB30:AB38" si="0">IF(T30="","",ROUND(V30*Y30,2))</f>
        <v/>
      </c>
      <c r="AC30" s="486"/>
      <c r="AD30" s="486"/>
      <c r="AE30" s="486"/>
      <c r="AF30" s="486" t="str">
        <f t="shared" ref="AF30:AF35" si="1">IF(T30="","",ROUND(Y30*(1+$AJ$18),2))</f>
        <v/>
      </c>
      <c r="AG30" s="486"/>
      <c r="AH30" s="486"/>
      <c r="AI30" s="532">
        <f>AI31</f>
        <v>1896.93</v>
      </c>
      <c r="AJ30" s="532"/>
      <c r="AK30" s="532"/>
      <c r="AL30" s="532"/>
      <c r="AM30" s="532"/>
      <c r="AN30" s="532"/>
      <c r="AO30" s="60">
        <f>AI30</f>
        <v>1896.93</v>
      </c>
    </row>
    <row r="31" spans="2:48" ht="28.5" customHeight="1" x14ac:dyDescent="0.2">
      <c r="B31" s="340" t="s">
        <v>3</v>
      </c>
      <c r="C31" s="492" t="s">
        <v>13</v>
      </c>
      <c r="D31" s="492"/>
      <c r="E31" s="492" t="s">
        <v>10</v>
      </c>
      <c r="F31" s="492"/>
      <c r="G31" s="493" t="s">
        <v>109</v>
      </c>
      <c r="H31" s="610"/>
      <c r="I31" s="610"/>
      <c r="J31" s="610"/>
      <c r="K31" s="610"/>
      <c r="L31" s="610"/>
      <c r="M31" s="610"/>
      <c r="N31" s="610"/>
      <c r="O31" s="610"/>
      <c r="P31" s="610"/>
      <c r="Q31" s="610"/>
      <c r="R31" s="610"/>
      <c r="S31" s="610"/>
      <c r="T31" s="494" t="s">
        <v>12</v>
      </c>
      <c r="U31" s="494"/>
      <c r="V31" s="487">
        <v>4.5</v>
      </c>
      <c r="W31" s="487"/>
      <c r="X31" s="487"/>
      <c r="Y31" s="488">
        <v>336.96</v>
      </c>
      <c r="Z31" s="488"/>
      <c r="AA31" s="488"/>
      <c r="AB31" s="486">
        <f t="shared" si="0"/>
        <v>1516.32</v>
      </c>
      <c r="AC31" s="486"/>
      <c r="AD31" s="486"/>
      <c r="AE31" s="486"/>
      <c r="AF31" s="486">
        <v>421.54</v>
      </c>
      <c r="AG31" s="486"/>
      <c r="AH31" s="486"/>
      <c r="AI31" s="486">
        <f>IF(T31="","",ROUND(V31*AF31,2))</f>
        <v>1896.93</v>
      </c>
      <c r="AJ31" s="486"/>
      <c r="AK31" s="486"/>
      <c r="AL31" s="486"/>
      <c r="AM31" s="486"/>
      <c r="AN31" s="486"/>
    </row>
    <row r="32" spans="2:48" ht="28.5" customHeight="1" x14ac:dyDescent="0.25">
      <c r="B32" s="340"/>
      <c r="C32" s="492"/>
      <c r="D32" s="492"/>
      <c r="E32" s="492"/>
      <c r="F32" s="492"/>
      <c r="G32" s="555" t="str">
        <f>'MEMÓRIA DE CÁLCULO'!B16</f>
        <v>RUA AMAZONAS</v>
      </c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494"/>
      <c r="U32" s="494"/>
      <c r="V32" s="487"/>
      <c r="W32" s="487"/>
      <c r="X32" s="487"/>
      <c r="Y32" s="488"/>
      <c r="Z32" s="488"/>
      <c r="AA32" s="488"/>
      <c r="AB32" s="486"/>
      <c r="AC32" s="486"/>
      <c r="AD32" s="486"/>
      <c r="AE32" s="486"/>
      <c r="AF32" s="486"/>
      <c r="AG32" s="486"/>
      <c r="AH32" s="486"/>
      <c r="AI32" s="553">
        <f>AI33+AI35+AI42+AI46+AI52+AI54+AI58</f>
        <v>136993.26605000001</v>
      </c>
      <c r="AJ32" s="553"/>
      <c r="AK32" s="553"/>
      <c r="AL32" s="553"/>
      <c r="AM32" s="553"/>
      <c r="AN32" s="553"/>
      <c r="AO32" s="60">
        <f>AI32</f>
        <v>136993.26605000001</v>
      </c>
      <c r="AV32" s="298"/>
    </row>
    <row r="33" spans="2:48" ht="28.5" customHeight="1" x14ac:dyDescent="0.2">
      <c r="B33" s="340"/>
      <c r="C33" s="492"/>
      <c r="D33" s="492"/>
      <c r="E33" s="492"/>
      <c r="F33" s="492"/>
      <c r="G33" s="529" t="s">
        <v>287</v>
      </c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494"/>
      <c r="U33" s="494"/>
      <c r="V33" s="487"/>
      <c r="W33" s="487"/>
      <c r="X33" s="487"/>
      <c r="Y33" s="488"/>
      <c r="Z33" s="488"/>
      <c r="AA33" s="488"/>
      <c r="AB33" s="486"/>
      <c r="AC33" s="486"/>
      <c r="AD33" s="486"/>
      <c r="AE33" s="486"/>
      <c r="AF33" s="486"/>
      <c r="AG33" s="486"/>
      <c r="AH33" s="486"/>
      <c r="AI33" s="532">
        <f>AI34</f>
        <v>662.96999999999991</v>
      </c>
      <c r="AJ33" s="532"/>
      <c r="AK33" s="532"/>
      <c r="AL33" s="532"/>
      <c r="AM33" s="532"/>
      <c r="AN33" s="532"/>
      <c r="AV33" s="298"/>
    </row>
    <row r="34" spans="2:48" ht="28.5" customHeight="1" x14ac:dyDescent="0.2">
      <c r="B34" s="445" t="s">
        <v>245</v>
      </c>
      <c r="C34" s="492" t="s">
        <v>69</v>
      </c>
      <c r="D34" s="492"/>
      <c r="E34" s="492" t="s">
        <v>10</v>
      </c>
      <c r="F34" s="492"/>
      <c r="G34" s="493" t="s">
        <v>368</v>
      </c>
      <c r="H34" s="493"/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4" t="s">
        <v>12</v>
      </c>
      <c r="U34" s="494"/>
      <c r="V34" s="487">
        <v>1617</v>
      </c>
      <c r="W34" s="487"/>
      <c r="X34" s="487"/>
      <c r="Y34" s="533">
        <v>0.33</v>
      </c>
      <c r="Z34" s="533"/>
      <c r="AA34" s="533"/>
      <c r="AB34" s="486">
        <f t="shared" si="0"/>
        <v>533.61</v>
      </c>
      <c r="AC34" s="486"/>
      <c r="AD34" s="486"/>
      <c r="AE34" s="486"/>
      <c r="AF34" s="486">
        <v>0.41</v>
      </c>
      <c r="AG34" s="486"/>
      <c r="AH34" s="486"/>
      <c r="AI34" s="486">
        <f>V34*AF34</f>
        <v>662.96999999999991</v>
      </c>
      <c r="AJ34" s="486"/>
      <c r="AK34" s="486"/>
      <c r="AL34" s="486"/>
      <c r="AM34" s="486"/>
      <c r="AN34" s="486"/>
      <c r="AO34" s="60">
        <f t="shared" ref="AO34:AO44" si="2">AI34</f>
        <v>662.96999999999991</v>
      </c>
    </row>
    <row r="35" spans="2:48" ht="12" customHeight="1" x14ac:dyDescent="0.2">
      <c r="B35" s="340">
        <v>2</v>
      </c>
      <c r="C35" s="492"/>
      <c r="D35" s="492"/>
      <c r="E35" s="492"/>
      <c r="F35" s="492"/>
      <c r="G35" s="529" t="s">
        <v>244</v>
      </c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494"/>
      <c r="U35" s="494"/>
      <c r="V35" s="487"/>
      <c r="W35" s="487"/>
      <c r="X35" s="487"/>
      <c r="Y35" s="488"/>
      <c r="Z35" s="488"/>
      <c r="AA35" s="488"/>
      <c r="AB35" s="486" t="str">
        <f t="shared" si="0"/>
        <v/>
      </c>
      <c r="AC35" s="486"/>
      <c r="AD35" s="486"/>
      <c r="AE35" s="486"/>
      <c r="AF35" s="486" t="str">
        <f t="shared" si="1"/>
        <v/>
      </c>
      <c r="AG35" s="486"/>
      <c r="AH35" s="486"/>
      <c r="AI35" s="532">
        <f>SUM(AI36:AI41)</f>
        <v>12166.308000000001</v>
      </c>
      <c r="AJ35" s="532"/>
      <c r="AK35" s="532"/>
      <c r="AL35" s="532"/>
      <c r="AM35" s="532"/>
      <c r="AN35" s="532"/>
      <c r="AO35" s="60">
        <f t="shared" si="2"/>
        <v>12166.308000000001</v>
      </c>
    </row>
    <row r="36" spans="2:48" ht="24" customHeight="1" x14ac:dyDescent="0.2">
      <c r="B36" s="340" t="s">
        <v>246</v>
      </c>
      <c r="C36" s="492" t="s">
        <v>14</v>
      </c>
      <c r="D36" s="492"/>
      <c r="E36" s="492" t="s">
        <v>10</v>
      </c>
      <c r="F36" s="492"/>
      <c r="G36" s="493" t="s">
        <v>369</v>
      </c>
      <c r="H36" s="493"/>
      <c r="I36" s="493"/>
      <c r="J36" s="493"/>
      <c r="K36" s="493"/>
      <c r="L36" s="493"/>
      <c r="M36" s="493"/>
      <c r="N36" s="493"/>
      <c r="O36" s="493"/>
      <c r="P36" s="493"/>
      <c r="Q36" s="493"/>
      <c r="R36" s="493"/>
      <c r="S36" s="493"/>
      <c r="T36" s="494" t="s">
        <v>53</v>
      </c>
      <c r="U36" s="494"/>
      <c r="V36" s="487">
        <v>242.55</v>
      </c>
      <c r="W36" s="487"/>
      <c r="X36" s="487"/>
      <c r="Y36" s="488">
        <v>4.4400000000000004</v>
      </c>
      <c r="Z36" s="488"/>
      <c r="AA36" s="488"/>
      <c r="AB36" s="486">
        <f t="shared" si="0"/>
        <v>1076.92</v>
      </c>
      <c r="AC36" s="486"/>
      <c r="AD36" s="486"/>
      <c r="AE36" s="486"/>
      <c r="AF36" s="486">
        <v>5.55</v>
      </c>
      <c r="AG36" s="486"/>
      <c r="AH36" s="486"/>
      <c r="AI36" s="486">
        <f t="shared" ref="AI36:AI41" si="3">AF36*V36</f>
        <v>1346.1524999999999</v>
      </c>
      <c r="AJ36" s="486"/>
      <c r="AK36" s="486"/>
      <c r="AL36" s="486"/>
      <c r="AM36" s="486"/>
      <c r="AN36" s="486"/>
      <c r="AO36" s="60">
        <f t="shared" si="2"/>
        <v>1346.1524999999999</v>
      </c>
    </row>
    <row r="37" spans="2:48" ht="24" customHeight="1" x14ac:dyDescent="0.2">
      <c r="B37" s="340" t="s">
        <v>266</v>
      </c>
      <c r="C37" s="492" t="s">
        <v>367</v>
      </c>
      <c r="D37" s="492"/>
      <c r="E37" s="492" t="s">
        <v>10</v>
      </c>
      <c r="F37" s="492"/>
      <c r="G37" s="493" t="s">
        <v>370</v>
      </c>
      <c r="H37" s="493"/>
      <c r="I37" s="493"/>
      <c r="J37" s="493"/>
      <c r="K37" s="493"/>
      <c r="L37" s="493"/>
      <c r="M37" s="493"/>
      <c r="N37" s="493"/>
      <c r="O37" s="493"/>
      <c r="P37" s="493"/>
      <c r="Q37" s="493"/>
      <c r="R37" s="493"/>
      <c r="S37" s="493"/>
      <c r="T37" s="494" t="s">
        <v>63</v>
      </c>
      <c r="U37" s="494"/>
      <c r="V37" s="487">
        <v>242.55</v>
      </c>
      <c r="W37" s="487"/>
      <c r="X37" s="487"/>
      <c r="Y37" s="488">
        <v>1.31</v>
      </c>
      <c r="Z37" s="488"/>
      <c r="AA37" s="488"/>
      <c r="AB37" s="542">
        <f>IF(T37="","",ROUND(V37*Y37,2))</f>
        <v>317.74</v>
      </c>
      <c r="AC37" s="543"/>
      <c r="AD37" s="543"/>
      <c r="AE37" s="544"/>
      <c r="AF37" s="486">
        <v>1.64</v>
      </c>
      <c r="AG37" s="486"/>
      <c r="AH37" s="486"/>
      <c r="AI37" s="486">
        <f t="shared" si="3"/>
        <v>397.78199999999998</v>
      </c>
      <c r="AJ37" s="486"/>
      <c r="AK37" s="486"/>
      <c r="AL37" s="486"/>
      <c r="AM37" s="486"/>
      <c r="AN37" s="486"/>
      <c r="AO37" s="60">
        <f t="shared" si="2"/>
        <v>397.78199999999998</v>
      </c>
      <c r="AV37" s="296"/>
    </row>
    <row r="38" spans="2:48" ht="12" customHeight="1" x14ac:dyDescent="0.2">
      <c r="B38" s="341" t="s">
        <v>247</v>
      </c>
      <c r="C38" s="492" t="s">
        <v>62</v>
      </c>
      <c r="D38" s="492"/>
      <c r="E38" s="492" t="s">
        <v>10</v>
      </c>
      <c r="F38" s="492"/>
      <c r="G38" s="493" t="s">
        <v>371</v>
      </c>
      <c r="H38" s="493"/>
      <c r="I38" s="493"/>
      <c r="J38" s="493"/>
      <c r="K38" s="493"/>
      <c r="L38" s="493"/>
      <c r="M38" s="493"/>
      <c r="N38" s="493"/>
      <c r="O38" s="493"/>
      <c r="P38" s="493"/>
      <c r="Q38" s="493"/>
      <c r="R38" s="493"/>
      <c r="S38" s="493"/>
      <c r="T38" s="494" t="s">
        <v>12</v>
      </c>
      <c r="U38" s="494"/>
      <c r="V38" s="487">
        <v>1617</v>
      </c>
      <c r="W38" s="487"/>
      <c r="X38" s="487"/>
      <c r="Y38" s="488">
        <v>1.2</v>
      </c>
      <c r="Z38" s="488"/>
      <c r="AA38" s="488"/>
      <c r="AB38" s="486">
        <f t="shared" si="0"/>
        <v>1940.4</v>
      </c>
      <c r="AC38" s="486"/>
      <c r="AD38" s="486"/>
      <c r="AE38" s="486"/>
      <c r="AF38" s="486">
        <v>1.5</v>
      </c>
      <c r="AG38" s="486"/>
      <c r="AH38" s="486"/>
      <c r="AI38" s="486">
        <f t="shared" si="3"/>
        <v>2425.5</v>
      </c>
      <c r="AJ38" s="486"/>
      <c r="AK38" s="486"/>
      <c r="AL38" s="486"/>
      <c r="AM38" s="486"/>
      <c r="AN38" s="486"/>
      <c r="AO38" s="60">
        <f t="shared" si="2"/>
        <v>2425.5</v>
      </c>
    </row>
    <row r="39" spans="2:48" ht="58.5" customHeight="1" x14ac:dyDescent="0.2">
      <c r="B39" s="341" t="s">
        <v>248</v>
      </c>
      <c r="C39" s="492" t="s">
        <v>316</v>
      </c>
      <c r="D39" s="492"/>
      <c r="E39" s="492" t="s">
        <v>10</v>
      </c>
      <c r="F39" s="492"/>
      <c r="G39" s="493" t="s">
        <v>372</v>
      </c>
      <c r="H39" s="493"/>
      <c r="I39" s="493"/>
      <c r="J39" s="493"/>
      <c r="K39" s="493"/>
      <c r="L39" s="493"/>
      <c r="M39" s="493"/>
      <c r="N39" s="493"/>
      <c r="O39" s="493"/>
      <c r="P39" s="493"/>
      <c r="Q39" s="493"/>
      <c r="R39" s="493"/>
      <c r="S39" s="493"/>
      <c r="T39" s="494" t="s">
        <v>53</v>
      </c>
      <c r="U39" s="494"/>
      <c r="V39" s="487">
        <v>242.55</v>
      </c>
      <c r="W39" s="487"/>
      <c r="X39" s="487"/>
      <c r="Y39" s="533">
        <v>5.9</v>
      </c>
      <c r="Z39" s="533"/>
      <c r="AA39" s="533"/>
      <c r="AB39" s="485">
        <f t="shared" ref="AB39:AB44" si="4">IF(T39="","",ROUND(V39*Y39,2))</f>
        <v>1431.05</v>
      </c>
      <c r="AC39" s="485"/>
      <c r="AD39" s="485"/>
      <c r="AE39" s="485"/>
      <c r="AF39" s="485">
        <v>7.38</v>
      </c>
      <c r="AG39" s="485"/>
      <c r="AH39" s="485"/>
      <c r="AI39" s="486">
        <f t="shared" si="3"/>
        <v>1790.019</v>
      </c>
      <c r="AJ39" s="486"/>
      <c r="AK39" s="486"/>
      <c r="AL39" s="486"/>
      <c r="AM39" s="486"/>
      <c r="AN39" s="486"/>
      <c r="AO39" s="60">
        <f t="shared" si="2"/>
        <v>1790.019</v>
      </c>
    </row>
    <row r="40" spans="2:48" ht="35.25" customHeight="1" x14ac:dyDescent="0.2">
      <c r="B40" s="341" t="s">
        <v>249</v>
      </c>
      <c r="C40" s="492" t="s">
        <v>323</v>
      </c>
      <c r="D40" s="492"/>
      <c r="E40" s="492" t="s">
        <v>10</v>
      </c>
      <c r="F40" s="492"/>
      <c r="G40" s="540" t="s">
        <v>373</v>
      </c>
      <c r="H40" s="540"/>
      <c r="I40" s="540"/>
      <c r="J40" s="540"/>
      <c r="K40" s="540"/>
      <c r="L40" s="540"/>
      <c r="M40" s="540"/>
      <c r="N40" s="540"/>
      <c r="O40" s="540"/>
      <c r="P40" s="540"/>
      <c r="Q40" s="540"/>
      <c r="R40" s="540"/>
      <c r="S40" s="540"/>
      <c r="T40" s="494" t="s">
        <v>152</v>
      </c>
      <c r="U40" s="494"/>
      <c r="V40" s="487">
        <v>2910.6</v>
      </c>
      <c r="W40" s="487"/>
      <c r="X40" s="487"/>
      <c r="Y40" s="533">
        <v>0.87</v>
      </c>
      <c r="Z40" s="533"/>
      <c r="AA40" s="533"/>
      <c r="AB40" s="485">
        <f t="shared" si="4"/>
        <v>2532.2199999999998</v>
      </c>
      <c r="AC40" s="485"/>
      <c r="AD40" s="485"/>
      <c r="AE40" s="485"/>
      <c r="AF40" s="485">
        <v>1.0900000000000001</v>
      </c>
      <c r="AG40" s="485"/>
      <c r="AH40" s="485"/>
      <c r="AI40" s="486">
        <f t="shared" si="3"/>
        <v>3172.5540000000001</v>
      </c>
      <c r="AJ40" s="486"/>
      <c r="AK40" s="486"/>
      <c r="AL40" s="486"/>
      <c r="AM40" s="486"/>
      <c r="AN40" s="486"/>
      <c r="AO40" s="60">
        <f t="shared" si="2"/>
        <v>3172.5540000000001</v>
      </c>
    </row>
    <row r="41" spans="2:48" ht="26.25" customHeight="1" x14ac:dyDescent="0.2">
      <c r="B41" s="341" t="s">
        <v>250</v>
      </c>
      <c r="C41" s="492" t="s">
        <v>229</v>
      </c>
      <c r="D41" s="492"/>
      <c r="E41" s="541" t="s">
        <v>385</v>
      </c>
      <c r="F41" s="541"/>
      <c r="G41" s="493" t="s">
        <v>374</v>
      </c>
      <c r="H41" s="493"/>
      <c r="I41" s="493"/>
      <c r="J41" s="493"/>
      <c r="K41" s="493"/>
      <c r="L41" s="493"/>
      <c r="M41" s="493"/>
      <c r="N41" s="493"/>
      <c r="O41" s="493"/>
      <c r="P41" s="493"/>
      <c r="Q41" s="493"/>
      <c r="R41" s="493"/>
      <c r="S41" s="493"/>
      <c r="T41" s="494" t="s">
        <v>53</v>
      </c>
      <c r="U41" s="494"/>
      <c r="V41" s="487">
        <v>242.55</v>
      </c>
      <c r="W41" s="487"/>
      <c r="X41" s="487"/>
      <c r="Y41" s="533">
        <v>10</v>
      </c>
      <c r="Z41" s="533"/>
      <c r="AA41" s="533"/>
      <c r="AB41" s="485">
        <f t="shared" si="4"/>
        <v>2425.5</v>
      </c>
      <c r="AC41" s="485"/>
      <c r="AD41" s="485"/>
      <c r="AE41" s="485"/>
      <c r="AF41" s="485">
        <v>12.51</v>
      </c>
      <c r="AG41" s="485"/>
      <c r="AH41" s="485"/>
      <c r="AI41" s="486">
        <f t="shared" si="3"/>
        <v>3034.3005000000003</v>
      </c>
      <c r="AJ41" s="486"/>
      <c r="AK41" s="486"/>
      <c r="AL41" s="486"/>
      <c r="AM41" s="486"/>
      <c r="AN41" s="486"/>
      <c r="AO41" s="60">
        <v>4195.8</v>
      </c>
    </row>
    <row r="42" spans="2:48" ht="12" customHeight="1" x14ac:dyDescent="0.2">
      <c r="B42" s="342">
        <v>3</v>
      </c>
      <c r="C42" s="513"/>
      <c r="D42" s="514"/>
      <c r="E42" s="513"/>
      <c r="F42" s="514"/>
      <c r="G42" s="529" t="s">
        <v>64</v>
      </c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494"/>
      <c r="U42" s="494"/>
      <c r="V42" s="487"/>
      <c r="W42" s="487"/>
      <c r="X42" s="487"/>
      <c r="Y42" s="533"/>
      <c r="Z42" s="533"/>
      <c r="AA42" s="533"/>
      <c r="AB42" s="485" t="str">
        <f t="shared" si="4"/>
        <v/>
      </c>
      <c r="AC42" s="485"/>
      <c r="AD42" s="485"/>
      <c r="AE42" s="485"/>
      <c r="AF42" s="485" t="str">
        <f t="shared" ref="AF42" si="5">IF(T42="","",ROUND(Y42*(1+$AJ$18),2))</f>
        <v/>
      </c>
      <c r="AG42" s="485"/>
      <c r="AH42" s="485"/>
      <c r="AI42" s="507">
        <f>SUM(AI43:AI44)</f>
        <v>11843.599200000001</v>
      </c>
      <c r="AJ42" s="507"/>
      <c r="AK42" s="507"/>
      <c r="AL42" s="507"/>
      <c r="AM42" s="507"/>
      <c r="AN42" s="507"/>
      <c r="AO42" s="60">
        <f t="shared" si="2"/>
        <v>11843.599200000001</v>
      </c>
    </row>
    <row r="43" spans="2:48" ht="30" customHeight="1" x14ac:dyDescent="0.2">
      <c r="B43" s="341" t="s">
        <v>4</v>
      </c>
      <c r="C43" s="492" t="s">
        <v>317</v>
      </c>
      <c r="D43" s="492"/>
      <c r="E43" s="492" t="s">
        <v>10</v>
      </c>
      <c r="F43" s="492"/>
      <c r="G43" s="493" t="s">
        <v>386</v>
      </c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  <c r="S43" s="493"/>
      <c r="T43" s="494" t="s">
        <v>12</v>
      </c>
      <c r="U43" s="494"/>
      <c r="V43" s="487">
        <v>1617</v>
      </c>
      <c r="W43" s="487"/>
      <c r="X43" s="487"/>
      <c r="Y43" s="533">
        <v>5.47</v>
      </c>
      <c r="Z43" s="533"/>
      <c r="AA43" s="533"/>
      <c r="AB43" s="485">
        <f t="shared" si="4"/>
        <v>8844.99</v>
      </c>
      <c r="AC43" s="485"/>
      <c r="AD43" s="485"/>
      <c r="AE43" s="485"/>
      <c r="AF43" s="485">
        <v>6.84</v>
      </c>
      <c r="AG43" s="485"/>
      <c r="AH43" s="485"/>
      <c r="AI43" s="485">
        <f>AF43*V43</f>
        <v>11060.28</v>
      </c>
      <c r="AJ43" s="485"/>
      <c r="AK43" s="485"/>
      <c r="AL43" s="485"/>
      <c r="AM43" s="485"/>
      <c r="AN43" s="485"/>
      <c r="AO43" s="60">
        <f t="shared" si="2"/>
        <v>11060.28</v>
      </c>
    </row>
    <row r="44" spans="2:48" ht="42.75" customHeight="1" x14ac:dyDescent="0.2">
      <c r="B44" s="341" t="s">
        <v>251</v>
      </c>
      <c r="C44" s="492" t="s">
        <v>136</v>
      </c>
      <c r="D44" s="492"/>
      <c r="E44" s="492" t="s">
        <v>10</v>
      </c>
      <c r="F44" s="492"/>
      <c r="G44" s="493" t="s">
        <v>375</v>
      </c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  <c r="S44" s="493"/>
      <c r="T44" s="494" t="s">
        <v>65</v>
      </c>
      <c r="U44" s="494"/>
      <c r="V44" s="487">
        <v>1073.04</v>
      </c>
      <c r="W44" s="487"/>
      <c r="X44" s="487"/>
      <c r="Y44" s="533">
        <v>0.57999999999999996</v>
      </c>
      <c r="Z44" s="533"/>
      <c r="AA44" s="533"/>
      <c r="AB44" s="536">
        <f t="shared" si="4"/>
        <v>622.36</v>
      </c>
      <c r="AC44" s="537"/>
      <c r="AD44" s="537"/>
      <c r="AE44" s="538"/>
      <c r="AF44" s="536">
        <v>0.73</v>
      </c>
      <c r="AG44" s="537"/>
      <c r="AH44" s="537"/>
      <c r="AI44" s="485">
        <f>AF44*V44</f>
        <v>783.31919999999991</v>
      </c>
      <c r="AJ44" s="485"/>
      <c r="AK44" s="485"/>
      <c r="AL44" s="485"/>
      <c r="AM44" s="485"/>
      <c r="AN44" s="485"/>
      <c r="AO44" s="299">
        <f t="shared" si="2"/>
        <v>783.31919999999991</v>
      </c>
    </row>
    <row r="45" spans="2:48" ht="12" customHeight="1" x14ac:dyDescent="0.2">
      <c r="B45" s="341"/>
      <c r="C45" s="492"/>
      <c r="D45" s="492"/>
      <c r="E45" s="492"/>
      <c r="F45" s="492"/>
      <c r="G45" s="539"/>
      <c r="H45" s="539"/>
      <c r="I45" s="539"/>
      <c r="J45" s="539"/>
      <c r="K45" s="539"/>
      <c r="L45" s="539"/>
      <c r="M45" s="539"/>
      <c r="N45" s="539"/>
      <c r="O45" s="539"/>
      <c r="P45" s="539"/>
      <c r="Q45" s="539"/>
      <c r="R45" s="539"/>
      <c r="S45" s="539"/>
      <c r="T45" s="494"/>
      <c r="U45" s="494"/>
      <c r="V45" s="487"/>
      <c r="W45" s="487"/>
      <c r="X45" s="487"/>
      <c r="Y45" s="533"/>
      <c r="Z45" s="533"/>
      <c r="AA45" s="533"/>
      <c r="AB45" s="536"/>
      <c r="AC45" s="537"/>
      <c r="AD45" s="537"/>
      <c r="AE45" s="538"/>
      <c r="AF45" s="536"/>
      <c r="AG45" s="537"/>
      <c r="AH45" s="537"/>
      <c r="AI45" s="536"/>
      <c r="AJ45" s="537"/>
      <c r="AK45" s="537"/>
      <c r="AL45" s="537"/>
      <c r="AM45" s="537"/>
      <c r="AN45" s="537"/>
    </row>
    <row r="46" spans="2:48" ht="12" customHeight="1" x14ac:dyDescent="0.2">
      <c r="B46" s="339" t="s">
        <v>54</v>
      </c>
      <c r="C46" s="492"/>
      <c r="D46" s="492"/>
      <c r="E46" s="492"/>
      <c r="F46" s="492"/>
      <c r="G46" s="529" t="s">
        <v>149</v>
      </c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494"/>
      <c r="U46" s="494"/>
      <c r="V46" s="487"/>
      <c r="W46" s="487"/>
      <c r="X46" s="487"/>
      <c r="Y46" s="488"/>
      <c r="Z46" s="488"/>
      <c r="AA46" s="488"/>
      <c r="AB46" s="486" t="str">
        <f>IF(T46="","",ROUND(V46*Y46,2))</f>
        <v/>
      </c>
      <c r="AC46" s="486"/>
      <c r="AD46" s="486"/>
      <c r="AE46" s="486"/>
      <c r="AF46" s="486" t="str">
        <f t="shared" ref="AF46:AF54" si="6">IF(T46="","",ROUND(Y46*(1+$AJ$18),2))</f>
        <v/>
      </c>
      <c r="AG46" s="486"/>
      <c r="AH46" s="486"/>
      <c r="AI46" s="532">
        <f>SUM(AI47:AI50)</f>
        <v>60528.345150000008</v>
      </c>
      <c r="AJ46" s="532"/>
      <c r="AK46" s="532"/>
      <c r="AL46" s="532"/>
      <c r="AM46" s="532"/>
      <c r="AN46" s="532"/>
      <c r="AO46" s="60">
        <f>AI46</f>
        <v>60528.345150000008</v>
      </c>
    </row>
    <row r="47" spans="2:48" ht="27.75" customHeight="1" x14ac:dyDescent="0.2">
      <c r="B47" s="340" t="s">
        <v>5</v>
      </c>
      <c r="C47" s="492" t="s">
        <v>150</v>
      </c>
      <c r="D47" s="492"/>
      <c r="E47" s="492" t="s">
        <v>10</v>
      </c>
      <c r="F47" s="492"/>
      <c r="G47" s="493" t="s">
        <v>376</v>
      </c>
      <c r="H47" s="493"/>
      <c r="I47" s="493"/>
      <c r="J47" s="493"/>
      <c r="K47" s="493"/>
      <c r="L47" s="493"/>
      <c r="M47" s="493"/>
      <c r="N47" s="493"/>
      <c r="O47" s="493"/>
      <c r="P47" s="493"/>
      <c r="Q47" s="493"/>
      <c r="R47" s="493"/>
      <c r="S47" s="493"/>
      <c r="T47" s="494" t="s">
        <v>12</v>
      </c>
      <c r="U47" s="494"/>
      <c r="V47" s="487">
        <v>1470</v>
      </c>
      <c r="W47" s="487"/>
      <c r="X47" s="487"/>
      <c r="Y47" s="533">
        <v>1.55</v>
      </c>
      <c r="Z47" s="533"/>
      <c r="AA47" s="533"/>
      <c r="AB47" s="485">
        <f>V47*Y47</f>
        <v>2278.5</v>
      </c>
      <c r="AC47" s="485"/>
      <c r="AD47" s="485"/>
      <c r="AE47" s="485"/>
      <c r="AF47" s="486">
        <v>1.94</v>
      </c>
      <c r="AG47" s="486"/>
      <c r="AH47" s="486"/>
      <c r="AI47" s="485">
        <f>AF47*V47</f>
        <v>2851.7999999999997</v>
      </c>
      <c r="AJ47" s="485"/>
      <c r="AK47" s="485"/>
      <c r="AL47" s="485"/>
      <c r="AM47" s="485"/>
      <c r="AN47" s="485"/>
      <c r="AO47" s="60">
        <f>AI47</f>
        <v>2851.7999999999997</v>
      </c>
    </row>
    <row r="48" spans="2:48" ht="45" customHeight="1" x14ac:dyDescent="0.2">
      <c r="B48" s="340" t="s">
        <v>291</v>
      </c>
      <c r="C48" s="492" t="s">
        <v>136</v>
      </c>
      <c r="D48" s="492"/>
      <c r="E48" s="492" t="s">
        <v>10</v>
      </c>
      <c r="F48" s="492"/>
      <c r="G48" s="493" t="s">
        <v>377</v>
      </c>
      <c r="H48" s="493"/>
      <c r="I48" s="493"/>
      <c r="J48" s="493"/>
      <c r="K48" s="493"/>
      <c r="L48" s="493"/>
      <c r="M48" s="493"/>
      <c r="N48" s="493"/>
      <c r="O48" s="493"/>
      <c r="P48" s="493"/>
      <c r="Q48" s="493"/>
      <c r="R48" s="493"/>
      <c r="S48" s="493"/>
      <c r="T48" s="494" t="s">
        <v>152</v>
      </c>
      <c r="U48" s="494"/>
      <c r="V48" s="534">
        <v>406.45499999999998</v>
      </c>
      <c r="W48" s="534"/>
      <c r="X48" s="534"/>
      <c r="Y48" s="533">
        <v>0.57999999999999996</v>
      </c>
      <c r="Z48" s="533"/>
      <c r="AA48" s="533"/>
      <c r="AB48" s="485">
        <f>V48*Y48</f>
        <v>235.74389999999997</v>
      </c>
      <c r="AC48" s="485"/>
      <c r="AD48" s="485"/>
      <c r="AE48" s="485"/>
      <c r="AF48" s="486">
        <v>0.73</v>
      </c>
      <c r="AG48" s="486"/>
      <c r="AH48" s="486"/>
      <c r="AI48" s="485">
        <f>AF48*V48</f>
        <v>296.71215000000001</v>
      </c>
      <c r="AJ48" s="485"/>
      <c r="AK48" s="485"/>
      <c r="AL48" s="485"/>
      <c r="AM48" s="485"/>
      <c r="AN48" s="485"/>
      <c r="AO48" s="60">
        <f>AI48</f>
        <v>296.71215000000001</v>
      </c>
      <c r="AV48" s="97"/>
    </row>
    <row r="49" spans="2:48" ht="40.5" customHeight="1" x14ac:dyDescent="0.2">
      <c r="B49" s="340" t="s">
        <v>292</v>
      </c>
      <c r="C49" s="492" t="s">
        <v>294</v>
      </c>
      <c r="D49" s="492"/>
      <c r="E49" s="492" t="s">
        <v>10</v>
      </c>
      <c r="F49" s="492"/>
      <c r="G49" s="493" t="s">
        <v>378</v>
      </c>
      <c r="H49" s="493"/>
      <c r="I49" s="493"/>
      <c r="J49" s="493"/>
      <c r="K49" s="493"/>
      <c r="L49" s="493"/>
      <c r="M49" s="493"/>
      <c r="N49" s="493"/>
      <c r="O49" s="493"/>
      <c r="P49" s="493"/>
      <c r="Q49" s="493"/>
      <c r="R49" s="493"/>
      <c r="S49" s="493"/>
      <c r="T49" s="494" t="s">
        <v>53</v>
      </c>
      <c r="U49" s="494"/>
      <c r="V49" s="535">
        <v>44.1</v>
      </c>
      <c r="W49" s="535"/>
      <c r="X49" s="535"/>
      <c r="Y49" s="488">
        <v>865</v>
      </c>
      <c r="Z49" s="488"/>
      <c r="AA49" s="488"/>
      <c r="AB49" s="486">
        <f>IF(T49="","",ROUND(V49*Y49,2))</f>
        <v>38146.5</v>
      </c>
      <c r="AC49" s="486"/>
      <c r="AD49" s="486"/>
      <c r="AE49" s="486"/>
      <c r="AF49" s="486">
        <v>1082.1300000000001</v>
      </c>
      <c r="AG49" s="486"/>
      <c r="AH49" s="486"/>
      <c r="AI49" s="485">
        <f>AF49*V49</f>
        <v>47721.933000000005</v>
      </c>
      <c r="AJ49" s="485"/>
      <c r="AK49" s="485"/>
      <c r="AL49" s="485"/>
      <c r="AM49" s="485"/>
      <c r="AN49" s="485"/>
      <c r="AO49" s="60">
        <f>AI49</f>
        <v>47721.933000000005</v>
      </c>
    </row>
    <row r="50" spans="2:48" ht="37.5" customHeight="1" x14ac:dyDescent="0.2">
      <c r="B50" s="340" t="s">
        <v>293</v>
      </c>
      <c r="C50" s="492" t="s">
        <v>136</v>
      </c>
      <c r="D50" s="492"/>
      <c r="E50" s="492" t="s">
        <v>10</v>
      </c>
      <c r="F50" s="492"/>
      <c r="G50" s="493" t="s">
        <v>379</v>
      </c>
      <c r="H50" s="493"/>
      <c r="I50" s="493"/>
      <c r="J50" s="493"/>
      <c r="K50" s="493"/>
      <c r="L50" s="493"/>
      <c r="M50" s="493"/>
      <c r="N50" s="493"/>
      <c r="O50" s="493"/>
      <c r="P50" s="493"/>
      <c r="Q50" s="493"/>
      <c r="R50" s="493"/>
      <c r="S50" s="493"/>
      <c r="T50" s="494" t="s">
        <v>152</v>
      </c>
      <c r="U50" s="494"/>
      <c r="V50" s="487">
        <v>13230</v>
      </c>
      <c r="W50" s="487"/>
      <c r="X50" s="487"/>
      <c r="Y50" s="533">
        <v>0.57999999999999996</v>
      </c>
      <c r="Z50" s="533"/>
      <c r="AA50" s="533"/>
      <c r="AB50" s="485">
        <f>IF(T50="","",ROUND(V50*Y50,2))</f>
        <v>7673.4</v>
      </c>
      <c r="AC50" s="485"/>
      <c r="AD50" s="485"/>
      <c r="AE50" s="485"/>
      <c r="AF50" s="485">
        <v>0.73</v>
      </c>
      <c r="AG50" s="485"/>
      <c r="AH50" s="485"/>
      <c r="AI50" s="485">
        <f>AF50*V50</f>
        <v>9657.9</v>
      </c>
      <c r="AJ50" s="485"/>
      <c r="AK50" s="485"/>
      <c r="AL50" s="485"/>
      <c r="AM50" s="485"/>
      <c r="AN50" s="485"/>
      <c r="AO50" s="60">
        <f>AI50</f>
        <v>9657.9</v>
      </c>
    </row>
    <row r="51" spans="2:48" ht="12" customHeight="1" x14ac:dyDescent="0.2">
      <c r="B51" s="340"/>
      <c r="C51" s="492"/>
      <c r="D51" s="492"/>
      <c r="E51" s="492"/>
      <c r="F51" s="492"/>
      <c r="G51" s="493"/>
      <c r="H51" s="493"/>
      <c r="I51" s="493"/>
      <c r="J51" s="493"/>
      <c r="K51" s="493"/>
      <c r="L51" s="493"/>
      <c r="M51" s="493"/>
      <c r="N51" s="493"/>
      <c r="O51" s="493"/>
      <c r="P51" s="493"/>
      <c r="Q51" s="493"/>
      <c r="R51" s="493"/>
      <c r="S51" s="493"/>
      <c r="T51" s="494"/>
      <c r="U51" s="494"/>
      <c r="V51" s="487"/>
      <c r="W51" s="487"/>
      <c r="X51" s="487"/>
      <c r="Y51" s="533"/>
      <c r="Z51" s="533"/>
      <c r="AA51" s="533"/>
      <c r="AB51" s="485"/>
      <c r="AC51" s="485"/>
      <c r="AD51" s="485"/>
      <c r="AE51" s="485"/>
      <c r="AF51" s="485"/>
      <c r="AG51" s="485"/>
      <c r="AH51" s="485"/>
      <c r="AI51" s="485"/>
      <c r="AJ51" s="485"/>
      <c r="AK51" s="485"/>
      <c r="AL51" s="485"/>
      <c r="AM51" s="485"/>
      <c r="AN51" s="485"/>
      <c r="AV51" s="98"/>
    </row>
    <row r="52" spans="2:48" ht="12" customHeight="1" x14ac:dyDescent="0.2">
      <c r="B52" s="339" t="s">
        <v>56</v>
      </c>
      <c r="C52" s="492"/>
      <c r="D52" s="492"/>
      <c r="E52" s="492"/>
      <c r="F52" s="492"/>
      <c r="G52" s="529" t="s">
        <v>55</v>
      </c>
      <c r="H52" s="529"/>
      <c r="I52" s="529"/>
      <c r="J52" s="529"/>
      <c r="K52" s="529"/>
      <c r="L52" s="529"/>
      <c r="M52" s="529"/>
      <c r="N52" s="529"/>
      <c r="O52" s="529"/>
      <c r="P52" s="529"/>
      <c r="Q52" s="529"/>
      <c r="R52" s="529"/>
      <c r="S52" s="529"/>
      <c r="T52" s="494"/>
      <c r="U52" s="494"/>
      <c r="V52" s="487"/>
      <c r="W52" s="487"/>
      <c r="X52" s="487"/>
      <c r="Y52" s="488"/>
      <c r="Z52" s="488"/>
      <c r="AA52" s="488"/>
      <c r="AB52" s="486" t="str">
        <f>IF(T52="","",ROUND(V52*Y52,2))</f>
        <v/>
      </c>
      <c r="AC52" s="486"/>
      <c r="AD52" s="486"/>
      <c r="AE52" s="486"/>
      <c r="AF52" s="486" t="str">
        <f t="shared" si="6"/>
        <v/>
      </c>
      <c r="AG52" s="486"/>
      <c r="AH52" s="486"/>
      <c r="AI52" s="532">
        <f>AI53</f>
        <v>17369.824000000001</v>
      </c>
      <c r="AJ52" s="532"/>
      <c r="AK52" s="532"/>
      <c r="AL52" s="532"/>
      <c r="AM52" s="532"/>
      <c r="AN52" s="532"/>
      <c r="AO52" s="60">
        <f>AI52</f>
        <v>17369.824000000001</v>
      </c>
    </row>
    <row r="53" spans="2:48" ht="57.75" customHeight="1" x14ac:dyDescent="0.2">
      <c r="B53" s="340" t="s">
        <v>252</v>
      </c>
      <c r="C53" s="492" t="s">
        <v>259</v>
      </c>
      <c r="D53" s="492"/>
      <c r="E53" s="492" t="s">
        <v>10</v>
      </c>
      <c r="F53" s="492"/>
      <c r="G53" s="493" t="s">
        <v>380</v>
      </c>
      <c r="H53" s="493"/>
      <c r="I53" s="493"/>
      <c r="J53" s="493"/>
      <c r="K53" s="493"/>
      <c r="L53" s="493"/>
      <c r="M53" s="493"/>
      <c r="N53" s="493"/>
      <c r="O53" s="493"/>
      <c r="P53" s="493"/>
      <c r="Q53" s="493"/>
      <c r="R53" s="493"/>
      <c r="S53" s="493"/>
      <c r="T53" s="494" t="s">
        <v>11</v>
      </c>
      <c r="U53" s="494"/>
      <c r="V53" s="487">
        <v>476.8</v>
      </c>
      <c r="W53" s="487"/>
      <c r="X53" s="487"/>
      <c r="Y53" s="488">
        <v>29.12</v>
      </c>
      <c r="Z53" s="488"/>
      <c r="AA53" s="488"/>
      <c r="AB53" s="485">
        <f>IF(T53="","",ROUND(V53*Y53,2))</f>
        <v>13884.42</v>
      </c>
      <c r="AC53" s="485"/>
      <c r="AD53" s="485"/>
      <c r="AE53" s="485"/>
      <c r="AF53" s="486">
        <v>36.43</v>
      </c>
      <c r="AG53" s="486"/>
      <c r="AH53" s="486"/>
      <c r="AI53" s="486">
        <f>V53*AF53</f>
        <v>17369.824000000001</v>
      </c>
      <c r="AJ53" s="486"/>
      <c r="AK53" s="486"/>
      <c r="AL53" s="486"/>
      <c r="AM53" s="486"/>
      <c r="AN53" s="486"/>
      <c r="AO53" s="60">
        <f>AI53</f>
        <v>17369.824000000001</v>
      </c>
    </row>
    <row r="54" spans="2:48" ht="12" customHeight="1" x14ac:dyDescent="0.2">
      <c r="B54" s="342">
        <v>6</v>
      </c>
      <c r="C54" s="513"/>
      <c r="D54" s="514"/>
      <c r="E54" s="513"/>
      <c r="F54" s="514"/>
      <c r="G54" s="529" t="s">
        <v>68</v>
      </c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494"/>
      <c r="U54" s="494"/>
      <c r="V54" s="520"/>
      <c r="W54" s="521"/>
      <c r="X54" s="522"/>
      <c r="Y54" s="530"/>
      <c r="Z54" s="530"/>
      <c r="AA54" s="530"/>
      <c r="AB54" s="485"/>
      <c r="AC54" s="485"/>
      <c r="AD54" s="485"/>
      <c r="AE54" s="485"/>
      <c r="AF54" s="486" t="str">
        <f t="shared" si="6"/>
        <v/>
      </c>
      <c r="AG54" s="486"/>
      <c r="AH54" s="486"/>
      <c r="AI54" s="531">
        <f>AI55+AI56+AI57</f>
        <v>32061.183700000005</v>
      </c>
      <c r="AJ54" s="507"/>
      <c r="AK54" s="507"/>
      <c r="AL54" s="507"/>
      <c r="AM54" s="507"/>
      <c r="AN54" s="507"/>
      <c r="AO54" s="60">
        <f>AI54</f>
        <v>32061.183700000005</v>
      </c>
    </row>
    <row r="55" spans="2:48" ht="24.75" customHeight="1" x14ac:dyDescent="0.2">
      <c r="B55" s="341" t="s">
        <v>253</v>
      </c>
      <c r="C55" s="492" t="s">
        <v>325</v>
      </c>
      <c r="D55" s="492"/>
      <c r="E55" s="492" t="s">
        <v>10</v>
      </c>
      <c r="F55" s="492"/>
      <c r="G55" s="493" t="s">
        <v>381</v>
      </c>
      <c r="H55" s="493"/>
      <c r="I55" s="493"/>
      <c r="J55" s="493"/>
      <c r="K55" s="493"/>
      <c r="L55" s="493"/>
      <c r="M55" s="493"/>
      <c r="N55" s="493"/>
      <c r="O55" s="493"/>
      <c r="P55" s="493"/>
      <c r="Q55" s="493"/>
      <c r="R55" s="493"/>
      <c r="S55" s="493"/>
      <c r="T55" s="494" t="s">
        <v>53</v>
      </c>
      <c r="U55" s="494"/>
      <c r="V55" s="487">
        <v>52.07</v>
      </c>
      <c r="W55" s="487"/>
      <c r="X55" s="487"/>
      <c r="Y55" s="484">
        <v>462.88</v>
      </c>
      <c r="Z55" s="484"/>
      <c r="AA55" s="484"/>
      <c r="AB55" s="485">
        <f>V55*Y55</f>
        <v>24102.161599999999</v>
      </c>
      <c r="AC55" s="485"/>
      <c r="AD55" s="485"/>
      <c r="AE55" s="485"/>
      <c r="AF55" s="486">
        <v>579.07000000000005</v>
      </c>
      <c r="AG55" s="486"/>
      <c r="AH55" s="486"/>
      <c r="AI55" s="485">
        <f>V55*AF55</f>
        <v>30152.174900000002</v>
      </c>
      <c r="AJ55" s="485"/>
      <c r="AK55" s="485"/>
      <c r="AL55" s="485"/>
      <c r="AM55" s="485"/>
      <c r="AN55" s="485"/>
      <c r="AO55" s="60">
        <f>AI55</f>
        <v>30152.174900000002</v>
      </c>
      <c r="AR55" s="302">
        <f>QCI!F24</f>
        <v>0.99014064377287914</v>
      </c>
    </row>
    <row r="56" spans="2:48" ht="24.75" customHeight="1" x14ac:dyDescent="0.2">
      <c r="B56" s="341" t="s">
        <v>254</v>
      </c>
      <c r="C56" s="492" t="s">
        <v>243</v>
      </c>
      <c r="D56" s="492"/>
      <c r="E56" s="492" t="s">
        <v>10</v>
      </c>
      <c r="F56" s="492"/>
      <c r="G56" s="493" t="s">
        <v>437</v>
      </c>
      <c r="H56" s="493"/>
      <c r="I56" s="493"/>
      <c r="J56" s="493"/>
      <c r="K56" s="493"/>
      <c r="L56" s="493"/>
      <c r="M56" s="493"/>
      <c r="N56" s="493"/>
      <c r="O56" s="493"/>
      <c r="P56" s="493"/>
      <c r="Q56" s="493"/>
      <c r="R56" s="493"/>
      <c r="S56" s="493"/>
      <c r="T56" s="494" t="s">
        <v>12</v>
      </c>
      <c r="U56" s="494"/>
      <c r="V56" s="487">
        <v>59.52</v>
      </c>
      <c r="W56" s="487"/>
      <c r="X56" s="487"/>
      <c r="Y56" s="484">
        <v>10.86</v>
      </c>
      <c r="Z56" s="484"/>
      <c r="AA56" s="484"/>
      <c r="AB56" s="485">
        <f>V56*Y56</f>
        <v>646.38720000000001</v>
      </c>
      <c r="AC56" s="485"/>
      <c r="AD56" s="485"/>
      <c r="AE56" s="485"/>
      <c r="AF56" s="486">
        <v>13.59</v>
      </c>
      <c r="AG56" s="486"/>
      <c r="AH56" s="486"/>
      <c r="AI56" s="485">
        <f>V56*AF56</f>
        <v>808.8768</v>
      </c>
      <c r="AJ56" s="485"/>
      <c r="AK56" s="485"/>
      <c r="AL56" s="485"/>
      <c r="AM56" s="485"/>
      <c r="AN56" s="485"/>
      <c r="AO56" s="60">
        <f>AI56</f>
        <v>808.8768</v>
      </c>
      <c r="AV56" s="97"/>
    </row>
    <row r="57" spans="2:48" ht="35.25" customHeight="1" x14ac:dyDescent="0.2">
      <c r="B57" s="438" t="s">
        <v>423</v>
      </c>
      <c r="C57" s="492">
        <v>38135</v>
      </c>
      <c r="D57" s="492"/>
      <c r="E57" s="485" t="s">
        <v>318</v>
      </c>
      <c r="F57" s="485"/>
      <c r="G57" s="509" t="s">
        <v>438</v>
      </c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1"/>
      <c r="T57" s="485" t="s">
        <v>12</v>
      </c>
      <c r="U57" s="485"/>
      <c r="V57" s="487">
        <v>24.2</v>
      </c>
      <c r="W57" s="487"/>
      <c r="X57" s="487"/>
      <c r="Y57" s="485">
        <v>36.340000000000003</v>
      </c>
      <c r="Z57" s="485"/>
      <c r="AA57" s="485"/>
      <c r="AB57" s="485">
        <f>V57*Y57</f>
        <v>879.42800000000011</v>
      </c>
      <c r="AC57" s="485"/>
      <c r="AD57" s="485"/>
      <c r="AE57" s="485"/>
      <c r="AF57" s="486">
        <v>45.46</v>
      </c>
      <c r="AG57" s="486"/>
      <c r="AH57" s="486"/>
      <c r="AI57" s="485">
        <f>V57*AF57</f>
        <v>1100.1320000000001</v>
      </c>
      <c r="AJ57" s="485"/>
      <c r="AK57" s="485"/>
      <c r="AL57" s="485"/>
      <c r="AM57" s="485"/>
      <c r="AN57" s="485"/>
    </row>
    <row r="58" spans="2:48" ht="23.25" customHeight="1" x14ac:dyDescent="0.2">
      <c r="B58" s="344" t="s">
        <v>134</v>
      </c>
      <c r="C58" s="485"/>
      <c r="D58" s="485"/>
      <c r="E58" s="485"/>
      <c r="F58" s="485"/>
      <c r="G58" s="495" t="s">
        <v>131</v>
      </c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7"/>
      <c r="T58" s="485"/>
      <c r="U58" s="485"/>
      <c r="V58" s="485"/>
      <c r="W58" s="485"/>
      <c r="X58" s="485"/>
      <c r="Y58" s="485"/>
      <c r="Z58" s="485"/>
      <c r="AA58" s="485"/>
      <c r="AB58" s="485"/>
      <c r="AC58" s="485"/>
      <c r="AD58" s="485"/>
      <c r="AE58" s="485"/>
      <c r="AF58" s="486"/>
      <c r="AG58" s="486"/>
      <c r="AH58" s="486"/>
      <c r="AI58" s="507">
        <f>SUM(AI59:AI63)</f>
        <v>2361.0360000000001</v>
      </c>
      <c r="AJ58" s="507"/>
      <c r="AK58" s="507"/>
      <c r="AL58" s="507"/>
      <c r="AM58" s="507"/>
      <c r="AN58" s="507"/>
      <c r="AO58" s="60">
        <f t="shared" ref="AO58:AO63" si="7">AI58</f>
        <v>2361.0360000000001</v>
      </c>
    </row>
    <row r="59" spans="2:48" ht="42" customHeight="1" x14ac:dyDescent="0.2">
      <c r="B59" s="343" t="s">
        <v>255</v>
      </c>
      <c r="C59" s="508">
        <v>72947</v>
      </c>
      <c r="D59" s="508"/>
      <c r="E59" s="485" t="s">
        <v>10</v>
      </c>
      <c r="F59" s="485"/>
      <c r="G59" s="509" t="s">
        <v>382</v>
      </c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1"/>
      <c r="T59" s="485" t="s">
        <v>89</v>
      </c>
      <c r="U59" s="485"/>
      <c r="V59" s="512">
        <v>55.2</v>
      </c>
      <c r="W59" s="508"/>
      <c r="X59" s="508"/>
      <c r="Y59" s="485">
        <v>20.73</v>
      </c>
      <c r="Z59" s="485"/>
      <c r="AA59" s="485"/>
      <c r="AB59" s="485">
        <f>V59*Y59</f>
        <v>1144.296</v>
      </c>
      <c r="AC59" s="485"/>
      <c r="AD59" s="485"/>
      <c r="AE59" s="485"/>
      <c r="AF59" s="486">
        <v>25.93</v>
      </c>
      <c r="AG59" s="486"/>
      <c r="AH59" s="486"/>
      <c r="AI59" s="485">
        <f>V59*AF59</f>
        <v>1431.336</v>
      </c>
      <c r="AJ59" s="485"/>
      <c r="AK59" s="485"/>
      <c r="AL59" s="485"/>
      <c r="AM59" s="485"/>
      <c r="AN59" s="485"/>
      <c r="AO59" s="60">
        <f t="shared" si="7"/>
        <v>1431.336</v>
      </c>
    </row>
    <row r="60" spans="2:48" ht="23.25" customHeight="1" x14ac:dyDescent="0.2">
      <c r="B60" s="340" t="s">
        <v>256</v>
      </c>
      <c r="C60" s="492" t="s">
        <v>180</v>
      </c>
      <c r="D60" s="492"/>
      <c r="E60" s="492" t="s">
        <v>146</v>
      </c>
      <c r="F60" s="492"/>
      <c r="G60" s="493" t="s">
        <v>383</v>
      </c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4" t="s">
        <v>89</v>
      </c>
      <c r="U60" s="494"/>
      <c r="V60" s="487">
        <v>0.6</v>
      </c>
      <c r="W60" s="487"/>
      <c r="X60" s="487"/>
      <c r="Y60" s="488">
        <v>307.91000000000003</v>
      </c>
      <c r="Z60" s="488"/>
      <c r="AA60" s="488"/>
      <c r="AB60" s="486">
        <f>IF(T60="","",ROUND(V60*Y60,2))</f>
        <v>184.75</v>
      </c>
      <c r="AC60" s="486"/>
      <c r="AD60" s="486"/>
      <c r="AE60" s="486"/>
      <c r="AF60" s="485">
        <v>385.2</v>
      </c>
      <c r="AG60" s="485"/>
      <c r="AH60" s="485"/>
      <c r="AI60" s="485">
        <f>V60*AF60</f>
        <v>231.11999999999998</v>
      </c>
      <c r="AJ60" s="485"/>
      <c r="AK60" s="485"/>
      <c r="AL60" s="485"/>
      <c r="AM60" s="485"/>
      <c r="AN60" s="485"/>
      <c r="AO60" s="60">
        <f t="shared" si="7"/>
        <v>231.11999999999998</v>
      </c>
    </row>
    <row r="61" spans="2:48" ht="23.25" customHeight="1" x14ac:dyDescent="0.2">
      <c r="B61" s="340" t="s">
        <v>135</v>
      </c>
      <c r="C61" s="492" t="s">
        <v>151</v>
      </c>
      <c r="D61" s="492"/>
      <c r="E61" s="492" t="s">
        <v>146</v>
      </c>
      <c r="F61" s="492"/>
      <c r="G61" s="493" t="s">
        <v>388</v>
      </c>
      <c r="H61" s="493"/>
      <c r="I61" s="493"/>
      <c r="J61" s="493"/>
      <c r="K61" s="493"/>
      <c r="L61" s="493"/>
      <c r="M61" s="493"/>
      <c r="N61" s="493"/>
      <c r="O61" s="493"/>
      <c r="P61" s="493"/>
      <c r="Q61" s="493"/>
      <c r="R61" s="493"/>
      <c r="S61" s="493"/>
      <c r="T61" s="494" t="s">
        <v>133</v>
      </c>
      <c r="U61" s="494"/>
      <c r="V61" s="487">
        <v>2</v>
      </c>
      <c r="W61" s="487"/>
      <c r="X61" s="487"/>
      <c r="Y61" s="488">
        <v>91.53</v>
      </c>
      <c r="Z61" s="488"/>
      <c r="AA61" s="488"/>
      <c r="AB61" s="486">
        <f>IF(T61="","",ROUND(V61*Y61,2))</f>
        <v>183.06</v>
      </c>
      <c r="AC61" s="486"/>
      <c r="AD61" s="486"/>
      <c r="AE61" s="486"/>
      <c r="AF61" s="485">
        <v>114.51</v>
      </c>
      <c r="AG61" s="485"/>
      <c r="AH61" s="485"/>
      <c r="AI61" s="485">
        <f>V61*AF61</f>
        <v>229.02</v>
      </c>
      <c r="AJ61" s="485"/>
      <c r="AK61" s="485"/>
      <c r="AL61" s="485"/>
      <c r="AM61" s="485"/>
      <c r="AN61" s="485"/>
      <c r="AO61" s="60">
        <f t="shared" si="7"/>
        <v>229.02</v>
      </c>
      <c r="AV61" s="97"/>
    </row>
    <row r="62" spans="2:48" ht="24" customHeight="1" x14ac:dyDescent="0.2">
      <c r="B62" s="340" t="s">
        <v>257</v>
      </c>
      <c r="C62" s="492" t="s">
        <v>132</v>
      </c>
      <c r="D62" s="492"/>
      <c r="E62" s="492" t="s">
        <v>10</v>
      </c>
      <c r="F62" s="492"/>
      <c r="G62" s="493" t="s">
        <v>387</v>
      </c>
      <c r="H62" s="493"/>
      <c r="I62" s="493"/>
      <c r="J62" s="493"/>
      <c r="K62" s="493"/>
      <c r="L62" s="493"/>
      <c r="M62" s="493"/>
      <c r="N62" s="493"/>
      <c r="O62" s="493"/>
      <c r="P62" s="493"/>
      <c r="Q62" s="493"/>
      <c r="R62" s="493"/>
      <c r="S62" s="493"/>
      <c r="T62" s="494" t="s">
        <v>133</v>
      </c>
      <c r="U62" s="494"/>
      <c r="V62" s="487">
        <v>2</v>
      </c>
      <c r="W62" s="487"/>
      <c r="X62" s="487"/>
      <c r="Y62" s="488">
        <v>96.14</v>
      </c>
      <c r="Z62" s="488"/>
      <c r="AA62" s="488"/>
      <c r="AB62" s="486">
        <f>IF(T62="","",ROUND(V62*Y62,2))</f>
        <v>192.28</v>
      </c>
      <c r="AC62" s="486"/>
      <c r="AD62" s="486"/>
      <c r="AE62" s="486"/>
      <c r="AF62" s="485">
        <v>120.27</v>
      </c>
      <c r="AG62" s="485"/>
      <c r="AH62" s="485"/>
      <c r="AI62" s="485">
        <f>V62*AF62</f>
        <v>240.54</v>
      </c>
      <c r="AJ62" s="485"/>
      <c r="AK62" s="485"/>
      <c r="AL62" s="485"/>
      <c r="AM62" s="485"/>
      <c r="AN62" s="485"/>
      <c r="AO62" s="60">
        <f t="shared" si="7"/>
        <v>240.54</v>
      </c>
    </row>
    <row r="63" spans="2:48" ht="24" customHeight="1" x14ac:dyDescent="0.2">
      <c r="B63" s="340" t="s">
        <v>258</v>
      </c>
      <c r="C63" s="492" t="s">
        <v>151</v>
      </c>
      <c r="D63" s="492"/>
      <c r="E63" s="492" t="s">
        <v>146</v>
      </c>
      <c r="F63" s="492"/>
      <c r="G63" s="493" t="s">
        <v>384</v>
      </c>
      <c r="H63" s="493"/>
      <c r="I63" s="493"/>
      <c r="J63" s="493"/>
      <c r="K63" s="493"/>
      <c r="L63" s="493"/>
      <c r="M63" s="493"/>
      <c r="N63" s="493"/>
      <c r="O63" s="493"/>
      <c r="P63" s="493"/>
      <c r="Q63" s="493"/>
      <c r="R63" s="493"/>
      <c r="S63" s="493"/>
      <c r="T63" s="494" t="s">
        <v>133</v>
      </c>
      <c r="U63" s="494"/>
      <c r="V63" s="487">
        <v>2</v>
      </c>
      <c r="W63" s="487"/>
      <c r="X63" s="487"/>
      <c r="Y63" s="488">
        <f>Y61</f>
        <v>91.53</v>
      </c>
      <c r="Z63" s="488"/>
      <c r="AA63" s="488"/>
      <c r="AB63" s="486">
        <f>IF(T63="","",ROUND(V63*Y63,2))</f>
        <v>183.06</v>
      </c>
      <c r="AC63" s="486"/>
      <c r="AD63" s="486"/>
      <c r="AE63" s="486"/>
      <c r="AF63" s="485">
        <v>114.51</v>
      </c>
      <c r="AG63" s="485"/>
      <c r="AH63" s="485"/>
      <c r="AI63" s="485">
        <f>V63*AF63</f>
        <v>229.02</v>
      </c>
      <c r="AJ63" s="485"/>
      <c r="AK63" s="485"/>
      <c r="AL63" s="485"/>
      <c r="AM63" s="485"/>
      <c r="AN63" s="485"/>
      <c r="AO63" s="60">
        <f t="shared" si="7"/>
        <v>229.02</v>
      </c>
      <c r="AV63" s="97"/>
    </row>
    <row r="64" spans="2:48" ht="24" customHeight="1" x14ac:dyDescent="0.2">
      <c r="B64" s="340"/>
      <c r="C64" s="492"/>
      <c r="D64" s="492"/>
      <c r="E64" s="492"/>
      <c r="F64" s="492"/>
      <c r="G64" s="493"/>
      <c r="H64" s="493"/>
      <c r="I64" s="493"/>
      <c r="J64" s="493"/>
      <c r="K64" s="493"/>
      <c r="L64" s="493"/>
      <c r="M64" s="493"/>
      <c r="N64" s="493"/>
      <c r="O64" s="493"/>
      <c r="P64" s="493"/>
      <c r="Q64" s="493"/>
      <c r="R64" s="493"/>
      <c r="S64" s="493"/>
      <c r="T64" s="494"/>
      <c r="U64" s="494"/>
      <c r="V64" s="487"/>
      <c r="W64" s="487"/>
      <c r="X64" s="487"/>
      <c r="Y64" s="533"/>
      <c r="Z64" s="533"/>
      <c r="AA64" s="533"/>
      <c r="AB64" s="486"/>
      <c r="AC64" s="486"/>
      <c r="AD64" s="486"/>
      <c r="AE64" s="486"/>
      <c r="AF64" s="486"/>
      <c r="AG64" s="486"/>
      <c r="AH64" s="486"/>
      <c r="AI64" s="486"/>
      <c r="AJ64" s="486"/>
      <c r="AK64" s="486"/>
      <c r="AL64" s="486"/>
      <c r="AM64" s="486"/>
      <c r="AN64" s="486"/>
      <c r="AO64" s="60"/>
      <c r="AV64" s="305"/>
    </row>
    <row r="65" spans="2:48" ht="24" customHeight="1" x14ac:dyDescent="0.25">
      <c r="B65" s="340"/>
      <c r="C65" s="492"/>
      <c r="D65" s="492"/>
      <c r="E65" s="492"/>
      <c r="F65" s="492"/>
      <c r="G65" s="555" t="str">
        <f>'MEMÓRIA DE CÁLCULO'!B17</f>
        <v>RUA CORONEL JOSÉ   GONÇALVES</v>
      </c>
      <c r="H65" s="552"/>
      <c r="I65" s="552"/>
      <c r="J65" s="552"/>
      <c r="K65" s="552"/>
      <c r="L65" s="552"/>
      <c r="M65" s="552"/>
      <c r="N65" s="552"/>
      <c r="O65" s="552"/>
      <c r="P65" s="552"/>
      <c r="Q65" s="552"/>
      <c r="R65" s="552"/>
      <c r="S65" s="552"/>
      <c r="T65" s="494"/>
      <c r="U65" s="494"/>
      <c r="V65" s="487"/>
      <c r="W65" s="487"/>
      <c r="X65" s="487"/>
      <c r="Y65" s="488"/>
      <c r="Z65" s="488"/>
      <c r="AA65" s="488"/>
      <c r="AB65" s="486"/>
      <c r="AC65" s="486"/>
      <c r="AD65" s="486"/>
      <c r="AE65" s="486"/>
      <c r="AF65" s="486"/>
      <c r="AG65" s="486"/>
      <c r="AH65" s="486"/>
      <c r="AI65" s="553">
        <f>AI66+AI68+AI75+AI79+AI85+AI87+AI91</f>
        <v>105078.33627999999</v>
      </c>
      <c r="AJ65" s="553"/>
      <c r="AK65" s="553"/>
      <c r="AL65" s="553"/>
      <c r="AM65" s="553"/>
      <c r="AN65" s="553"/>
      <c r="AO65" s="60">
        <f>AI65</f>
        <v>105078.33627999999</v>
      </c>
      <c r="AV65" s="305"/>
    </row>
    <row r="66" spans="2:48" ht="24" customHeight="1" x14ac:dyDescent="0.2">
      <c r="B66" s="340"/>
      <c r="C66" s="492"/>
      <c r="D66" s="492"/>
      <c r="E66" s="492"/>
      <c r="F66" s="492"/>
      <c r="G66" s="529" t="s">
        <v>287</v>
      </c>
      <c r="H66" s="554"/>
      <c r="I66" s="554"/>
      <c r="J66" s="554"/>
      <c r="K66" s="554"/>
      <c r="L66" s="554"/>
      <c r="M66" s="554"/>
      <c r="N66" s="554"/>
      <c r="O66" s="554"/>
      <c r="P66" s="554"/>
      <c r="Q66" s="554"/>
      <c r="R66" s="554"/>
      <c r="S66" s="554"/>
      <c r="T66" s="494"/>
      <c r="U66" s="494"/>
      <c r="V66" s="487"/>
      <c r="W66" s="487"/>
      <c r="X66" s="487"/>
      <c r="Y66" s="488"/>
      <c r="Z66" s="488"/>
      <c r="AA66" s="488"/>
      <c r="AB66" s="486"/>
      <c r="AC66" s="486"/>
      <c r="AD66" s="486"/>
      <c r="AE66" s="486"/>
      <c r="AF66" s="486"/>
      <c r="AG66" s="486"/>
      <c r="AH66" s="486"/>
      <c r="AI66" s="532">
        <f>AI67</f>
        <v>524.96400000000006</v>
      </c>
      <c r="AJ66" s="532"/>
      <c r="AK66" s="532"/>
      <c r="AL66" s="532"/>
      <c r="AM66" s="532"/>
      <c r="AN66" s="532"/>
      <c r="AO66" s="60"/>
      <c r="AV66" s="305"/>
    </row>
    <row r="67" spans="2:48" ht="24" customHeight="1" x14ac:dyDescent="0.2">
      <c r="B67" s="444" t="s">
        <v>245</v>
      </c>
      <c r="C67" s="545" t="s">
        <v>69</v>
      </c>
      <c r="D67" s="545"/>
      <c r="E67" s="545" t="s">
        <v>10</v>
      </c>
      <c r="F67" s="545"/>
      <c r="G67" s="546" t="s">
        <v>368</v>
      </c>
      <c r="H67" s="546"/>
      <c r="I67" s="546"/>
      <c r="J67" s="546"/>
      <c r="K67" s="546"/>
      <c r="L67" s="546"/>
      <c r="M67" s="546"/>
      <c r="N67" s="546"/>
      <c r="O67" s="546"/>
      <c r="P67" s="546"/>
      <c r="Q67" s="546"/>
      <c r="R67" s="546"/>
      <c r="S67" s="546"/>
      <c r="T67" s="547" t="s">
        <v>12</v>
      </c>
      <c r="U67" s="547"/>
      <c r="V67" s="548">
        <v>1280.4000000000001</v>
      </c>
      <c r="W67" s="548"/>
      <c r="X67" s="548"/>
      <c r="Y67" s="549">
        <v>0.33</v>
      </c>
      <c r="Z67" s="549"/>
      <c r="AA67" s="549"/>
      <c r="AB67" s="550">
        <f t="shared" ref="AB67:AB77" si="8">IF(T67="","",ROUND(V67*Y67,2))</f>
        <v>422.53</v>
      </c>
      <c r="AC67" s="550"/>
      <c r="AD67" s="550"/>
      <c r="AE67" s="550"/>
      <c r="AF67" s="550">
        <v>0.41</v>
      </c>
      <c r="AG67" s="550"/>
      <c r="AH67" s="550"/>
      <c r="AI67" s="550">
        <f>V67*AF67</f>
        <v>524.96400000000006</v>
      </c>
      <c r="AJ67" s="550"/>
      <c r="AK67" s="550"/>
      <c r="AL67" s="550"/>
      <c r="AM67" s="550"/>
      <c r="AN67" s="550"/>
      <c r="AO67" s="60"/>
      <c r="AV67" s="305"/>
    </row>
    <row r="68" spans="2:48" ht="24" customHeight="1" x14ac:dyDescent="0.2">
      <c r="B68" s="340">
        <v>2</v>
      </c>
      <c r="C68" s="492"/>
      <c r="D68" s="492"/>
      <c r="E68" s="492"/>
      <c r="F68" s="492"/>
      <c r="G68" s="529" t="s">
        <v>244</v>
      </c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494"/>
      <c r="U68" s="494"/>
      <c r="V68" s="487"/>
      <c r="W68" s="487"/>
      <c r="X68" s="487"/>
      <c r="Y68" s="488"/>
      <c r="Z68" s="488"/>
      <c r="AA68" s="488"/>
      <c r="AB68" s="486" t="str">
        <f t="shared" si="8"/>
        <v/>
      </c>
      <c r="AC68" s="486"/>
      <c r="AD68" s="486"/>
      <c r="AE68" s="486"/>
      <c r="AF68" s="486" t="str">
        <f t="shared" ref="AF68" si="9">IF(T68="","",ROUND(Y68*(1+$AJ$18),2))</f>
        <v/>
      </c>
      <c r="AG68" s="486"/>
      <c r="AH68" s="486"/>
      <c r="AI68" s="532">
        <f>SUM(AI69:AI74)</f>
        <v>7330.9302000000007</v>
      </c>
      <c r="AJ68" s="532"/>
      <c r="AK68" s="532"/>
      <c r="AL68" s="532"/>
      <c r="AM68" s="532"/>
      <c r="AN68" s="532"/>
      <c r="AO68" s="60"/>
      <c r="AV68" s="305"/>
    </row>
    <row r="69" spans="2:48" ht="50.25" customHeight="1" x14ac:dyDescent="0.2">
      <c r="B69" s="340" t="s">
        <v>246</v>
      </c>
      <c r="C69" s="492" t="s">
        <v>14</v>
      </c>
      <c r="D69" s="492"/>
      <c r="E69" s="492" t="s">
        <v>10</v>
      </c>
      <c r="F69" s="492"/>
      <c r="G69" s="493" t="s">
        <v>369</v>
      </c>
      <c r="H69" s="493"/>
      <c r="I69" s="493"/>
      <c r="J69" s="493"/>
      <c r="K69" s="493"/>
      <c r="L69" s="493"/>
      <c r="M69" s="493"/>
      <c r="N69" s="493"/>
      <c r="O69" s="493"/>
      <c r="P69" s="493"/>
      <c r="Q69" s="493"/>
      <c r="R69" s="493"/>
      <c r="S69" s="493"/>
      <c r="T69" s="494" t="s">
        <v>53</v>
      </c>
      <c r="U69" s="494"/>
      <c r="V69" s="487">
        <v>192.06</v>
      </c>
      <c r="W69" s="487"/>
      <c r="X69" s="487"/>
      <c r="Y69" s="488">
        <v>4.4400000000000004</v>
      </c>
      <c r="Z69" s="488"/>
      <c r="AA69" s="488"/>
      <c r="AB69" s="486">
        <f t="shared" si="8"/>
        <v>852.75</v>
      </c>
      <c r="AC69" s="486"/>
      <c r="AD69" s="486"/>
      <c r="AE69" s="486"/>
      <c r="AF69" s="486">
        <v>5.55</v>
      </c>
      <c r="AG69" s="486"/>
      <c r="AH69" s="486"/>
      <c r="AI69" s="486">
        <f t="shared" ref="AI69:AI74" si="10">AF69*V69</f>
        <v>1065.933</v>
      </c>
      <c r="AJ69" s="486"/>
      <c r="AK69" s="486"/>
      <c r="AL69" s="486"/>
      <c r="AM69" s="486"/>
      <c r="AN69" s="486"/>
      <c r="AO69" s="60"/>
      <c r="AV69" s="305"/>
    </row>
    <row r="70" spans="2:48" ht="24" customHeight="1" x14ac:dyDescent="0.2">
      <c r="B70" s="340" t="s">
        <v>266</v>
      </c>
      <c r="C70" s="492" t="s">
        <v>367</v>
      </c>
      <c r="D70" s="492"/>
      <c r="E70" s="492" t="s">
        <v>10</v>
      </c>
      <c r="F70" s="492"/>
      <c r="G70" s="493" t="s">
        <v>370</v>
      </c>
      <c r="H70" s="493"/>
      <c r="I70" s="493"/>
      <c r="J70" s="493"/>
      <c r="K70" s="493"/>
      <c r="L70" s="493"/>
      <c r="M70" s="493"/>
      <c r="N70" s="493"/>
      <c r="O70" s="493"/>
      <c r="P70" s="493"/>
      <c r="Q70" s="493"/>
      <c r="R70" s="493"/>
      <c r="S70" s="493"/>
      <c r="T70" s="494" t="s">
        <v>63</v>
      </c>
      <c r="U70" s="494"/>
      <c r="V70" s="487">
        <v>192.06</v>
      </c>
      <c r="W70" s="487"/>
      <c r="X70" s="487"/>
      <c r="Y70" s="488">
        <v>1.31</v>
      </c>
      <c r="Z70" s="488"/>
      <c r="AA70" s="488"/>
      <c r="AB70" s="542">
        <f t="shared" si="8"/>
        <v>251.6</v>
      </c>
      <c r="AC70" s="543"/>
      <c r="AD70" s="543"/>
      <c r="AE70" s="544"/>
      <c r="AF70" s="486">
        <v>1.64</v>
      </c>
      <c r="AG70" s="486"/>
      <c r="AH70" s="486"/>
      <c r="AI70" s="486">
        <f t="shared" si="10"/>
        <v>314.97839999999997</v>
      </c>
      <c r="AJ70" s="486"/>
      <c r="AK70" s="486"/>
      <c r="AL70" s="486"/>
      <c r="AM70" s="486"/>
      <c r="AN70" s="486"/>
      <c r="AO70" s="60"/>
      <c r="AV70" s="305"/>
    </row>
    <row r="71" spans="2:48" ht="24" customHeight="1" x14ac:dyDescent="0.2">
      <c r="B71" s="341" t="s">
        <v>247</v>
      </c>
      <c r="C71" s="492" t="s">
        <v>62</v>
      </c>
      <c r="D71" s="492"/>
      <c r="E71" s="492" t="s">
        <v>10</v>
      </c>
      <c r="F71" s="492"/>
      <c r="G71" s="493" t="s">
        <v>371</v>
      </c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4" t="s">
        <v>12</v>
      </c>
      <c r="U71" s="494"/>
      <c r="V71" s="487">
        <v>1280.4000000000001</v>
      </c>
      <c r="W71" s="487"/>
      <c r="X71" s="487"/>
      <c r="Y71" s="488">
        <v>1.2</v>
      </c>
      <c r="Z71" s="488"/>
      <c r="AA71" s="488"/>
      <c r="AB71" s="486">
        <f t="shared" si="8"/>
        <v>1536.48</v>
      </c>
      <c r="AC71" s="486"/>
      <c r="AD71" s="486"/>
      <c r="AE71" s="486"/>
      <c r="AF71" s="486">
        <v>1.5</v>
      </c>
      <c r="AG71" s="486"/>
      <c r="AH71" s="486"/>
      <c r="AI71" s="486">
        <f t="shared" si="10"/>
        <v>1920.6000000000001</v>
      </c>
      <c r="AJ71" s="486"/>
      <c r="AK71" s="486"/>
      <c r="AL71" s="486"/>
      <c r="AM71" s="486"/>
      <c r="AN71" s="486"/>
      <c r="AO71" s="60">
        <v>2153.84</v>
      </c>
      <c r="AV71" s="305"/>
    </row>
    <row r="72" spans="2:48" ht="24" customHeight="1" x14ac:dyDescent="0.2">
      <c r="B72" s="341" t="s">
        <v>248</v>
      </c>
      <c r="C72" s="492" t="s">
        <v>316</v>
      </c>
      <c r="D72" s="492"/>
      <c r="E72" s="492" t="s">
        <v>10</v>
      </c>
      <c r="F72" s="492"/>
      <c r="G72" s="493" t="s">
        <v>372</v>
      </c>
      <c r="H72" s="493"/>
      <c r="I72" s="493"/>
      <c r="J72" s="493"/>
      <c r="K72" s="493"/>
      <c r="L72" s="493"/>
      <c r="M72" s="493"/>
      <c r="N72" s="493"/>
      <c r="O72" s="493"/>
      <c r="P72" s="493"/>
      <c r="Q72" s="493"/>
      <c r="R72" s="493"/>
      <c r="S72" s="493"/>
      <c r="T72" s="494" t="s">
        <v>53</v>
      </c>
      <c r="U72" s="494"/>
      <c r="V72" s="487">
        <v>192.06</v>
      </c>
      <c r="W72" s="487"/>
      <c r="X72" s="487"/>
      <c r="Y72" s="533">
        <v>5.9</v>
      </c>
      <c r="Z72" s="533"/>
      <c r="AA72" s="533"/>
      <c r="AB72" s="485">
        <f t="shared" si="8"/>
        <v>1133.1500000000001</v>
      </c>
      <c r="AC72" s="485"/>
      <c r="AD72" s="485"/>
      <c r="AE72" s="485"/>
      <c r="AF72" s="485">
        <v>7.38</v>
      </c>
      <c r="AG72" s="485"/>
      <c r="AH72" s="485"/>
      <c r="AI72" s="486">
        <f t="shared" si="10"/>
        <v>1417.4028000000001</v>
      </c>
      <c r="AJ72" s="486"/>
      <c r="AK72" s="486"/>
      <c r="AL72" s="486"/>
      <c r="AM72" s="486"/>
      <c r="AN72" s="486"/>
      <c r="AO72" s="60"/>
      <c r="AV72" s="305"/>
    </row>
    <row r="73" spans="2:48" ht="24" customHeight="1" x14ac:dyDescent="0.2">
      <c r="B73" s="341" t="s">
        <v>249</v>
      </c>
      <c r="C73" s="492" t="s">
        <v>323</v>
      </c>
      <c r="D73" s="492"/>
      <c r="E73" s="492" t="s">
        <v>10</v>
      </c>
      <c r="F73" s="492"/>
      <c r="G73" s="540" t="s">
        <v>373</v>
      </c>
      <c r="H73" s="540"/>
      <c r="I73" s="540"/>
      <c r="J73" s="540"/>
      <c r="K73" s="540"/>
      <c r="L73" s="540"/>
      <c r="M73" s="540"/>
      <c r="N73" s="540"/>
      <c r="O73" s="540"/>
      <c r="P73" s="540"/>
      <c r="Q73" s="540"/>
      <c r="R73" s="540"/>
      <c r="S73" s="540"/>
      <c r="T73" s="494" t="s">
        <v>152</v>
      </c>
      <c r="U73" s="494"/>
      <c r="V73" s="487">
        <v>192.06</v>
      </c>
      <c r="W73" s="487"/>
      <c r="X73" s="487"/>
      <c r="Y73" s="533">
        <v>0.87</v>
      </c>
      <c r="Z73" s="533"/>
      <c r="AA73" s="533"/>
      <c r="AB73" s="485">
        <f t="shared" si="8"/>
        <v>167.09</v>
      </c>
      <c r="AC73" s="485"/>
      <c r="AD73" s="485"/>
      <c r="AE73" s="485"/>
      <c r="AF73" s="485">
        <v>1.0900000000000001</v>
      </c>
      <c r="AG73" s="485"/>
      <c r="AH73" s="485"/>
      <c r="AI73" s="486">
        <f t="shared" si="10"/>
        <v>209.34540000000001</v>
      </c>
      <c r="AJ73" s="486"/>
      <c r="AK73" s="486"/>
      <c r="AL73" s="486"/>
      <c r="AM73" s="486"/>
      <c r="AN73" s="486"/>
      <c r="AO73" s="60"/>
      <c r="AV73" s="305"/>
    </row>
    <row r="74" spans="2:48" ht="24" customHeight="1" x14ac:dyDescent="0.2">
      <c r="B74" s="341" t="s">
        <v>250</v>
      </c>
      <c r="C74" s="492" t="s">
        <v>229</v>
      </c>
      <c r="D74" s="492"/>
      <c r="E74" s="541" t="s">
        <v>385</v>
      </c>
      <c r="F74" s="541"/>
      <c r="G74" s="493" t="s">
        <v>374</v>
      </c>
      <c r="H74" s="493"/>
      <c r="I74" s="493"/>
      <c r="J74" s="493"/>
      <c r="K74" s="493"/>
      <c r="L74" s="493"/>
      <c r="M74" s="493"/>
      <c r="N74" s="493"/>
      <c r="O74" s="493"/>
      <c r="P74" s="493"/>
      <c r="Q74" s="493"/>
      <c r="R74" s="493"/>
      <c r="S74" s="493"/>
      <c r="T74" s="494" t="s">
        <v>53</v>
      </c>
      <c r="U74" s="494"/>
      <c r="V74" s="487">
        <v>192.06</v>
      </c>
      <c r="W74" s="487"/>
      <c r="X74" s="487"/>
      <c r="Y74" s="533">
        <v>10</v>
      </c>
      <c r="Z74" s="533"/>
      <c r="AA74" s="533"/>
      <c r="AB74" s="485">
        <f t="shared" si="8"/>
        <v>1920.6</v>
      </c>
      <c r="AC74" s="485"/>
      <c r="AD74" s="485"/>
      <c r="AE74" s="485"/>
      <c r="AF74" s="485">
        <v>12.51</v>
      </c>
      <c r="AG74" s="485"/>
      <c r="AH74" s="485"/>
      <c r="AI74" s="486">
        <f t="shared" si="10"/>
        <v>2402.6705999999999</v>
      </c>
      <c r="AJ74" s="486"/>
      <c r="AK74" s="486"/>
      <c r="AL74" s="486"/>
      <c r="AM74" s="486"/>
      <c r="AN74" s="486"/>
      <c r="AO74" s="60"/>
      <c r="AV74" s="305"/>
    </row>
    <row r="75" spans="2:48" ht="24" customHeight="1" x14ac:dyDescent="0.2">
      <c r="B75" s="342">
        <v>3</v>
      </c>
      <c r="C75" s="513"/>
      <c r="D75" s="514"/>
      <c r="E75" s="513"/>
      <c r="F75" s="514"/>
      <c r="G75" s="529" t="s">
        <v>64</v>
      </c>
      <c r="H75" s="529"/>
      <c r="I75" s="529"/>
      <c r="J75" s="529"/>
      <c r="K75" s="529"/>
      <c r="L75" s="529"/>
      <c r="M75" s="529"/>
      <c r="N75" s="529"/>
      <c r="O75" s="529"/>
      <c r="P75" s="529"/>
      <c r="Q75" s="529"/>
      <c r="R75" s="529"/>
      <c r="S75" s="529"/>
      <c r="T75" s="494"/>
      <c r="U75" s="494"/>
      <c r="V75" s="487"/>
      <c r="W75" s="487"/>
      <c r="X75" s="487"/>
      <c r="Y75" s="533"/>
      <c r="Z75" s="533"/>
      <c r="AA75" s="533"/>
      <c r="AB75" s="485" t="str">
        <f t="shared" si="8"/>
        <v/>
      </c>
      <c r="AC75" s="485"/>
      <c r="AD75" s="485"/>
      <c r="AE75" s="485"/>
      <c r="AF75" s="485" t="str">
        <f>IF(T75="","",ROUND(Y75*(1+$AJ$18),2))</f>
        <v/>
      </c>
      <c r="AG75" s="485"/>
      <c r="AH75" s="485"/>
      <c r="AI75" s="507">
        <f>SUM(AI76:AI77)</f>
        <v>9378.195099999999</v>
      </c>
      <c r="AJ75" s="507"/>
      <c r="AK75" s="507"/>
      <c r="AL75" s="507"/>
      <c r="AM75" s="507"/>
      <c r="AN75" s="507"/>
      <c r="AO75" s="60"/>
      <c r="AV75" s="305"/>
    </row>
    <row r="76" spans="2:48" ht="24" customHeight="1" x14ac:dyDescent="0.2">
      <c r="B76" s="341" t="s">
        <v>4</v>
      </c>
      <c r="C76" s="492" t="s">
        <v>317</v>
      </c>
      <c r="D76" s="492"/>
      <c r="E76" s="492" t="s">
        <v>10</v>
      </c>
      <c r="F76" s="492"/>
      <c r="G76" s="493" t="s">
        <v>386</v>
      </c>
      <c r="H76" s="493"/>
      <c r="I76" s="493"/>
      <c r="J76" s="493"/>
      <c r="K76" s="493"/>
      <c r="L76" s="493"/>
      <c r="M76" s="493"/>
      <c r="N76" s="493"/>
      <c r="O76" s="493"/>
      <c r="P76" s="493"/>
      <c r="Q76" s="493"/>
      <c r="R76" s="493"/>
      <c r="S76" s="493"/>
      <c r="T76" s="494" t="s">
        <v>12</v>
      </c>
      <c r="U76" s="494"/>
      <c r="V76" s="487">
        <v>1280.4000000000001</v>
      </c>
      <c r="W76" s="487"/>
      <c r="X76" s="487"/>
      <c r="Y76" s="533">
        <v>5.47</v>
      </c>
      <c r="Z76" s="533"/>
      <c r="AA76" s="533"/>
      <c r="AB76" s="485">
        <f t="shared" si="8"/>
        <v>7003.79</v>
      </c>
      <c r="AC76" s="485"/>
      <c r="AD76" s="485"/>
      <c r="AE76" s="485"/>
      <c r="AF76" s="485">
        <v>6.84</v>
      </c>
      <c r="AG76" s="485"/>
      <c r="AH76" s="485"/>
      <c r="AI76" s="485">
        <f>AF76*V76</f>
        <v>8757.9359999999997</v>
      </c>
      <c r="AJ76" s="485"/>
      <c r="AK76" s="485"/>
      <c r="AL76" s="485"/>
      <c r="AM76" s="485"/>
      <c r="AN76" s="485"/>
      <c r="AO76" s="60"/>
      <c r="AV76" s="305"/>
    </row>
    <row r="77" spans="2:48" ht="24" customHeight="1" x14ac:dyDescent="0.2">
      <c r="B77" s="341" t="s">
        <v>251</v>
      </c>
      <c r="C77" s="492" t="s">
        <v>136</v>
      </c>
      <c r="D77" s="492"/>
      <c r="E77" s="492" t="s">
        <v>10</v>
      </c>
      <c r="F77" s="492"/>
      <c r="G77" s="493" t="s">
        <v>375</v>
      </c>
      <c r="H77" s="493"/>
      <c r="I77" s="493"/>
      <c r="J77" s="493"/>
      <c r="K77" s="493"/>
      <c r="L77" s="493"/>
      <c r="M77" s="493"/>
      <c r="N77" s="493"/>
      <c r="O77" s="493"/>
      <c r="P77" s="493"/>
      <c r="Q77" s="493"/>
      <c r="R77" s="493"/>
      <c r="S77" s="493"/>
      <c r="T77" s="494" t="s">
        <v>65</v>
      </c>
      <c r="U77" s="494"/>
      <c r="V77" s="487">
        <v>849.67</v>
      </c>
      <c r="W77" s="487"/>
      <c r="X77" s="487"/>
      <c r="Y77" s="533">
        <v>0.57999999999999996</v>
      </c>
      <c r="Z77" s="533"/>
      <c r="AA77" s="533"/>
      <c r="AB77" s="536">
        <f t="shared" si="8"/>
        <v>492.81</v>
      </c>
      <c r="AC77" s="537"/>
      <c r="AD77" s="537"/>
      <c r="AE77" s="538"/>
      <c r="AF77" s="536">
        <v>0.73</v>
      </c>
      <c r="AG77" s="537"/>
      <c r="AH77" s="537"/>
      <c r="AI77" s="485">
        <f>AF77*V77</f>
        <v>620.25909999999999</v>
      </c>
      <c r="AJ77" s="485"/>
      <c r="AK77" s="485"/>
      <c r="AL77" s="485"/>
      <c r="AM77" s="485"/>
      <c r="AN77" s="485"/>
      <c r="AO77" s="60"/>
      <c r="AV77" s="305"/>
    </row>
    <row r="78" spans="2:48" ht="24" customHeight="1" x14ac:dyDescent="0.2">
      <c r="B78" s="341"/>
      <c r="C78" s="492"/>
      <c r="D78" s="492"/>
      <c r="E78" s="492"/>
      <c r="F78" s="492"/>
      <c r="G78" s="539"/>
      <c r="H78" s="539"/>
      <c r="I78" s="539"/>
      <c r="J78" s="539"/>
      <c r="K78" s="539"/>
      <c r="L78" s="539"/>
      <c r="M78" s="539"/>
      <c r="N78" s="539"/>
      <c r="O78" s="539"/>
      <c r="P78" s="539"/>
      <c r="Q78" s="539"/>
      <c r="R78" s="539"/>
      <c r="S78" s="539"/>
      <c r="T78" s="494"/>
      <c r="U78" s="494"/>
      <c r="V78" s="487"/>
      <c r="W78" s="487"/>
      <c r="X78" s="487"/>
      <c r="Y78" s="533"/>
      <c r="Z78" s="533"/>
      <c r="AA78" s="533"/>
      <c r="AB78" s="536"/>
      <c r="AC78" s="537"/>
      <c r="AD78" s="537"/>
      <c r="AE78" s="538"/>
      <c r="AF78" s="536"/>
      <c r="AG78" s="537"/>
      <c r="AH78" s="537"/>
      <c r="AI78" s="536"/>
      <c r="AJ78" s="537"/>
      <c r="AK78" s="537"/>
      <c r="AL78" s="537"/>
      <c r="AM78" s="537"/>
      <c r="AN78" s="537"/>
      <c r="AO78" s="60"/>
      <c r="AV78" s="305"/>
    </row>
    <row r="79" spans="2:48" ht="24" customHeight="1" x14ac:dyDescent="0.2">
      <c r="B79" s="339" t="s">
        <v>54</v>
      </c>
      <c r="C79" s="492"/>
      <c r="D79" s="492"/>
      <c r="E79" s="492"/>
      <c r="F79" s="492"/>
      <c r="G79" s="529" t="s">
        <v>149</v>
      </c>
      <c r="H79" s="529"/>
      <c r="I79" s="529"/>
      <c r="J79" s="529"/>
      <c r="K79" s="529"/>
      <c r="L79" s="529"/>
      <c r="M79" s="529"/>
      <c r="N79" s="529"/>
      <c r="O79" s="529"/>
      <c r="P79" s="529"/>
      <c r="Q79" s="529"/>
      <c r="R79" s="529"/>
      <c r="S79" s="529"/>
      <c r="T79" s="494"/>
      <c r="U79" s="494"/>
      <c r="V79" s="487"/>
      <c r="W79" s="487"/>
      <c r="X79" s="487"/>
      <c r="Y79" s="488"/>
      <c r="Z79" s="488"/>
      <c r="AA79" s="488"/>
      <c r="AB79" s="486" t="str">
        <f>IF(T79="","",ROUND(V79*Y79,2))</f>
        <v/>
      </c>
      <c r="AC79" s="486"/>
      <c r="AD79" s="486"/>
      <c r="AE79" s="486"/>
      <c r="AF79" s="486" t="str">
        <f>IF(T79="","",ROUND(Y79*(1+$AJ$18),2))</f>
        <v/>
      </c>
      <c r="AG79" s="486"/>
      <c r="AH79" s="486"/>
      <c r="AI79" s="532">
        <f>SUM(AI80:AI83)</f>
        <v>47906.924579999992</v>
      </c>
      <c r="AJ79" s="532"/>
      <c r="AK79" s="532"/>
      <c r="AL79" s="532"/>
      <c r="AM79" s="532"/>
      <c r="AN79" s="532"/>
      <c r="AO79" s="60">
        <v>11495.34</v>
      </c>
      <c r="AV79" s="305"/>
    </row>
    <row r="80" spans="2:48" ht="24" customHeight="1" x14ac:dyDescent="0.2">
      <c r="B80" s="340" t="s">
        <v>5</v>
      </c>
      <c r="C80" s="492" t="s">
        <v>150</v>
      </c>
      <c r="D80" s="492"/>
      <c r="E80" s="492" t="s">
        <v>10</v>
      </c>
      <c r="F80" s="492"/>
      <c r="G80" s="493" t="s">
        <v>376</v>
      </c>
      <c r="H80" s="493"/>
      <c r="I80" s="493"/>
      <c r="J80" s="493"/>
      <c r="K80" s="493"/>
      <c r="L80" s="493"/>
      <c r="M80" s="493"/>
      <c r="N80" s="493"/>
      <c r="O80" s="493"/>
      <c r="P80" s="493"/>
      <c r="Q80" s="493"/>
      <c r="R80" s="493"/>
      <c r="S80" s="493"/>
      <c r="T80" s="494" t="s">
        <v>12</v>
      </c>
      <c r="U80" s="494"/>
      <c r="V80" s="487">
        <v>1164</v>
      </c>
      <c r="W80" s="487"/>
      <c r="X80" s="487"/>
      <c r="Y80" s="533">
        <v>1.55</v>
      </c>
      <c r="Z80" s="533"/>
      <c r="AA80" s="533"/>
      <c r="AB80" s="485">
        <f>V80*Y80</f>
        <v>1804.2</v>
      </c>
      <c r="AC80" s="485"/>
      <c r="AD80" s="485"/>
      <c r="AE80" s="485"/>
      <c r="AF80" s="486">
        <v>1.94</v>
      </c>
      <c r="AG80" s="486"/>
      <c r="AH80" s="486"/>
      <c r="AI80" s="485">
        <f>AF80*V80</f>
        <v>2258.16</v>
      </c>
      <c r="AJ80" s="485"/>
      <c r="AK80" s="485"/>
      <c r="AL80" s="485"/>
      <c r="AM80" s="485"/>
      <c r="AN80" s="485"/>
      <c r="AO80" s="60"/>
      <c r="AV80" s="305"/>
    </row>
    <row r="81" spans="2:48" ht="24" customHeight="1" x14ac:dyDescent="0.2">
      <c r="B81" s="340" t="s">
        <v>291</v>
      </c>
      <c r="C81" s="492" t="s">
        <v>136</v>
      </c>
      <c r="D81" s="492"/>
      <c r="E81" s="492" t="s">
        <v>10</v>
      </c>
      <c r="F81" s="492"/>
      <c r="G81" s="493" t="s">
        <v>377</v>
      </c>
      <c r="H81" s="493"/>
      <c r="I81" s="493"/>
      <c r="J81" s="493"/>
      <c r="K81" s="493"/>
      <c r="L81" s="493"/>
      <c r="M81" s="493"/>
      <c r="N81" s="493"/>
      <c r="O81" s="493"/>
      <c r="P81" s="493"/>
      <c r="Q81" s="493"/>
      <c r="R81" s="493"/>
      <c r="S81" s="493"/>
      <c r="T81" s="494" t="s">
        <v>152</v>
      </c>
      <c r="U81" s="494"/>
      <c r="V81" s="534">
        <v>321.846</v>
      </c>
      <c r="W81" s="534"/>
      <c r="X81" s="534"/>
      <c r="Y81" s="533">
        <v>0.57999999999999996</v>
      </c>
      <c r="Z81" s="533"/>
      <c r="AA81" s="533"/>
      <c r="AB81" s="485">
        <f>V81*Y81</f>
        <v>186.67067999999998</v>
      </c>
      <c r="AC81" s="485"/>
      <c r="AD81" s="485"/>
      <c r="AE81" s="485"/>
      <c r="AF81" s="486">
        <v>0.73</v>
      </c>
      <c r="AG81" s="486"/>
      <c r="AH81" s="486"/>
      <c r="AI81" s="485">
        <f>AF81*V81</f>
        <v>234.94757999999999</v>
      </c>
      <c r="AJ81" s="485"/>
      <c r="AK81" s="485"/>
      <c r="AL81" s="485"/>
      <c r="AM81" s="485"/>
      <c r="AN81" s="485"/>
      <c r="AO81" s="60"/>
      <c r="AV81" s="305"/>
    </row>
    <row r="82" spans="2:48" ht="24" customHeight="1" x14ac:dyDescent="0.2">
      <c r="B82" s="340" t="s">
        <v>292</v>
      </c>
      <c r="C82" s="492" t="s">
        <v>294</v>
      </c>
      <c r="D82" s="492"/>
      <c r="E82" s="492" t="s">
        <v>10</v>
      </c>
      <c r="F82" s="492"/>
      <c r="G82" s="493" t="s">
        <v>378</v>
      </c>
      <c r="H82" s="493"/>
      <c r="I82" s="493"/>
      <c r="J82" s="493"/>
      <c r="K82" s="493"/>
      <c r="L82" s="493"/>
      <c r="M82" s="493"/>
      <c r="N82" s="493"/>
      <c r="O82" s="493"/>
      <c r="P82" s="493"/>
      <c r="Q82" s="493"/>
      <c r="R82" s="493"/>
      <c r="S82" s="493"/>
      <c r="T82" s="494" t="s">
        <v>53</v>
      </c>
      <c r="U82" s="494"/>
      <c r="V82" s="535">
        <v>34.9</v>
      </c>
      <c r="W82" s="535"/>
      <c r="X82" s="535"/>
      <c r="Y82" s="488">
        <v>865</v>
      </c>
      <c r="Z82" s="488"/>
      <c r="AA82" s="488"/>
      <c r="AB82" s="486">
        <f>IF(T82="","",ROUND(V82*Y82,2))</f>
        <v>30188.5</v>
      </c>
      <c r="AC82" s="486"/>
      <c r="AD82" s="486"/>
      <c r="AE82" s="486"/>
      <c r="AF82" s="486">
        <v>1082.1300000000001</v>
      </c>
      <c r="AG82" s="486"/>
      <c r="AH82" s="486"/>
      <c r="AI82" s="485">
        <f>AF82*V82</f>
        <v>37766.337</v>
      </c>
      <c r="AJ82" s="485"/>
      <c r="AK82" s="485"/>
      <c r="AL82" s="485"/>
      <c r="AM82" s="485"/>
      <c r="AN82" s="485"/>
      <c r="AO82" s="60"/>
      <c r="AV82" s="305"/>
    </row>
    <row r="83" spans="2:48" ht="24" customHeight="1" x14ac:dyDescent="0.2">
      <c r="B83" s="340" t="s">
        <v>293</v>
      </c>
      <c r="C83" s="492" t="s">
        <v>136</v>
      </c>
      <c r="D83" s="492"/>
      <c r="E83" s="492" t="s">
        <v>10</v>
      </c>
      <c r="F83" s="492"/>
      <c r="G83" s="493" t="s">
        <v>379</v>
      </c>
      <c r="H83" s="493"/>
      <c r="I83" s="493"/>
      <c r="J83" s="493"/>
      <c r="K83" s="493"/>
      <c r="L83" s="493"/>
      <c r="M83" s="493"/>
      <c r="N83" s="493"/>
      <c r="O83" s="493"/>
      <c r="P83" s="493"/>
      <c r="Q83" s="493"/>
      <c r="R83" s="493"/>
      <c r="S83" s="493"/>
      <c r="T83" s="494" t="s">
        <v>152</v>
      </c>
      <c r="U83" s="494"/>
      <c r="V83" s="487">
        <v>10476</v>
      </c>
      <c r="W83" s="487"/>
      <c r="X83" s="487"/>
      <c r="Y83" s="533">
        <v>0.57999999999999996</v>
      </c>
      <c r="Z83" s="533"/>
      <c r="AA83" s="533"/>
      <c r="AB83" s="485">
        <f>IF(T83="","",ROUND(V83*Y83,2))</f>
        <v>6076.08</v>
      </c>
      <c r="AC83" s="485"/>
      <c r="AD83" s="485"/>
      <c r="AE83" s="485"/>
      <c r="AF83" s="485">
        <v>0.73</v>
      </c>
      <c r="AG83" s="485"/>
      <c r="AH83" s="485"/>
      <c r="AI83" s="485">
        <f>AF83*V83</f>
        <v>7647.48</v>
      </c>
      <c r="AJ83" s="485"/>
      <c r="AK83" s="485"/>
      <c r="AL83" s="485"/>
      <c r="AM83" s="485"/>
      <c r="AN83" s="485"/>
      <c r="AO83" s="60"/>
      <c r="AV83" s="305"/>
    </row>
    <row r="84" spans="2:48" ht="24" customHeight="1" x14ac:dyDescent="0.2">
      <c r="B84" s="340"/>
      <c r="C84" s="492"/>
      <c r="D84" s="492"/>
      <c r="E84" s="492"/>
      <c r="F84" s="492"/>
      <c r="G84" s="493"/>
      <c r="H84" s="493"/>
      <c r="I84" s="493"/>
      <c r="J84" s="493"/>
      <c r="K84" s="493"/>
      <c r="L84" s="493"/>
      <c r="M84" s="493"/>
      <c r="N84" s="493"/>
      <c r="O84" s="493"/>
      <c r="P84" s="493"/>
      <c r="Q84" s="493"/>
      <c r="R84" s="493"/>
      <c r="S84" s="493"/>
      <c r="T84" s="494"/>
      <c r="U84" s="494"/>
      <c r="V84" s="487"/>
      <c r="W84" s="487"/>
      <c r="X84" s="487"/>
      <c r="Y84" s="533"/>
      <c r="Z84" s="533"/>
      <c r="AA84" s="533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485"/>
      <c r="AM84" s="485"/>
      <c r="AN84" s="485"/>
      <c r="AO84" s="60"/>
      <c r="AV84" s="305"/>
    </row>
    <row r="85" spans="2:48" ht="24" customHeight="1" x14ac:dyDescent="0.2">
      <c r="B85" s="339" t="s">
        <v>56</v>
      </c>
      <c r="C85" s="492"/>
      <c r="D85" s="492"/>
      <c r="E85" s="492"/>
      <c r="F85" s="492"/>
      <c r="G85" s="529" t="s">
        <v>55</v>
      </c>
      <c r="H85" s="529"/>
      <c r="I85" s="529"/>
      <c r="J85" s="529"/>
      <c r="K85" s="529"/>
      <c r="L85" s="529"/>
      <c r="M85" s="529"/>
      <c r="N85" s="529"/>
      <c r="O85" s="529"/>
      <c r="P85" s="529"/>
      <c r="Q85" s="529"/>
      <c r="R85" s="529"/>
      <c r="S85" s="529"/>
      <c r="T85" s="494"/>
      <c r="U85" s="494"/>
      <c r="V85" s="487"/>
      <c r="W85" s="487"/>
      <c r="X85" s="487"/>
      <c r="Y85" s="488"/>
      <c r="Z85" s="488"/>
      <c r="AA85" s="488"/>
      <c r="AB85" s="486" t="str">
        <f>IF(T85="","",ROUND(V85*Y85,2))</f>
        <v/>
      </c>
      <c r="AC85" s="486"/>
      <c r="AD85" s="486"/>
      <c r="AE85" s="486"/>
      <c r="AF85" s="486" t="str">
        <f t="shared" ref="AF85:AF87" si="11">IF(T85="","",ROUND(Y85*(1+$AJ$18),2))</f>
        <v/>
      </c>
      <c r="AG85" s="486"/>
      <c r="AH85" s="486"/>
      <c r="AI85" s="532">
        <f>AI86</f>
        <v>13684.929499999998</v>
      </c>
      <c r="AJ85" s="532"/>
      <c r="AK85" s="532"/>
      <c r="AL85" s="532"/>
      <c r="AM85" s="532"/>
      <c r="AN85" s="532"/>
      <c r="AO85" s="60"/>
      <c r="AV85" s="305"/>
    </row>
    <row r="86" spans="2:48" ht="24" customHeight="1" x14ac:dyDescent="0.2">
      <c r="B86" s="340" t="s">
        <v>252</v>
      </c>
      <c r="C86" s="492" t="s">
        <v>259</v>
      </c>
      <c r="D86" s="492"/>
      <c r="E86" s="492" t="s">
        <v>10</v>
      </c>
      <c r="F86" s="492"/>
      <c r="G86" s="493" t="s">
        <v>380</v>
      </c>
      <c r="H86" s="493"/>
      <c r="I86" s="493"/>
      <c r="J86" s="493"/>
      <c r="K86" s="493"/>
      <c r="L86" s="493"/>
      <c r="M86" s="493"/>
      <c r="N86" s="493"/>
      <c r="O86" s="493"/>
      <c r="P86" s="493"/>
      <c r="Q86" s="493"/>
      <c r="R86" s="493"/>
      <c r="S86" s="493"/>
      <c r="T86" s="494" t="s">
        <v>11</v>
      </c>
      <c r="U86" s="494"/>
      <c r="V86" s="487">
        <v>375.65</v>
      </c>
      <c r="W86" s="487"/>
      <c r="X86" s="487"/>
      <c r="Y86" s="488">
        <v>29.12</v>
      </c>
      <c r="Z86" s="488"/>
      <c r="AA86" s="488"/>
      <c r="AB86" s="485">
        <f>IF(T86="","",ROUND(V86*Y86,2))</f>
        <v>10938.93</v>
      </c>
      <c r="AC86" s="485"/>
      <c r="AD86" s="485"/>
      <c r="AE86" s="485"/>
      <c r="AF86" s="486">
        <v>36.43</v>
      </c>
      <c r="AG86" s="486"/>
      <c r="AH86" s="486"/>
      <c r="AI86" s="486">
        <f>V86*AF86</f>
        <v>13684.929499999998</v>
      </c>
      <c r="AJ86" s="486"/>
      <c r="AK86" s="486"/>
      <c r="AL86" s="486"/>
      <c r="AM86" s="486"/>
      <c r="AN86" s="486"/>
      <c r="AO86" s="60"/>
      <c r="AV86" s="305"/>
    </row>
    <row r="87" spans="2:48" ht="24" customHeight="1" x14ac:dyDescent="0.2">
      <c r="B87" s="342">
        <v>6</v>
      </c>
      <c r="C87" s="513"/>
      <c r="D87" s="514"/>
      <c r="E87" s="513"/>
      <c r="F87" s="514"/>
      <c r="G87" s="529" t="s">
        <v>68</v>
      </c>
      <c r="H87" s="529"/>
      <c r="I87" s="529"/>
      <c r="J87" s="529"/>
      <c r="K87" s="529"/>
      <c r="L87" s="529"/>
      <c r="M87" s="529"/>
      <c r="N87" s="529"/>
      <c r="O87" s="529"/>
      <c r="P87" s="529"/>
      <c r="Q87" s="529"/>
      <c r="R87" s="529"/>
      <c r="S87" s="529"/>
      <c r="T87" s="494"/>
      <c r="U87" s="494"/>
      <c r="V87" s="520"/>
      <c r="W87" s="521"/>
      <c r="X87" s="522"/>
      <c r="Y87" s="530"/>
      <c r="Z87" s="530"/>
      <c r="AA87" s="530"/>
      <c r="AB87" s="485"/>
      <c r="AC87" s="485"/>
      <c r="AD87" s="485"/>
      <c r="AE87" s="485"/>
      <c r="AF87" s="486" t="str">
        <f t="shared" si="11"/>
        <v/>
      </c>
      <c r="AG87" s="486"/>
      <c r="AH87" s="486"/>
      <c r="AI87" s="531">
        <f>SUM(AI88:AN90)</f>
        <v>24453.636800000007</v>
      </c>
      <c r="AJ87" s="507"/>
      <c r="AK87" s="507"/>
      <c r="AL87" s="507"/>
      <c r="AM87" s="507"/>
      <c r="AN87" s="507"/>
      <c r="AO87" s="60"/>
      <c r="AV87" s="305"/>
    </row>
    <row r="88" spans="2:48" ht="24" customHeight="1" x14ac:dyDescent="0.2">
      <c r="B88" s="341" t="s">
        <v>253</v>
      </c>
      <c r="C88" s="492" t="s">
        <v>325</v>
      </c>
      <c r="D88" s="492"/>
      <c r="E88" s="492" t="s">
        <v>10</v>
      </c>
      <c r="F88" s="492"/>
      <c r="G88" s="493" t="s">
        <v>381</v>
      </c>
      <c r="H88" s="493"/>
      <c r="I88" s="493"/>
      <c r="J88" s="493"/>
      <c r="K88" s="493"/>
      <c r="L88" s="493"/>
      <c r="M88" s="493"/>
      <c r="N88" s="493"/>
      <c r="O88" s="493"/>
      <c r="P88" s="493"/>
      <c r="Q88" s="493"/>
      <c r="R88" s="493"/>
      <c r="S88" s="493"/>
      <c r="T88" s="494" t="s">
        <v>53</v>
      </c>
      <c r="U88" s="494"/>
      <c r="V88" s="487">
        <v>39.67</v>
      </c>
      <c r="W88" s="487"/>
      <c r="X88" s="487"/>
      <c r="Y88" s="484">
        <v>462.88</v>
      </c>
      <c r="Z88" s="484"/>
      <c r="AA88" s="484"/>
      <c r="AB88" s="485">
        <f>V88*Y88</f>
        <v>18362.4496</v>
      </c>
      <c r="AC88" s="485"/>
      <c r="AD88" s="485"/>
      <c r="AE88" s="485"/>
      <c r="AF88" s="486">
        <v>579.07000000000005</v>
      </c>
      <c r="AG88" s="486"/>
      <c r="AH88" s="486"/>
      <c r="AI88" s="485">
        <f>V88*AF88</f>
        <v>22971.706900000005</v>
      </c>
      <c r="AJ88" s="485"/>
      <c r="AK88" s="485"/>
      <c r="AL88" s="485"/>
      <c r="AM88" s="485"/>
      <c r="AN88" s="485"/>
      <c r="AO88" s="60"/>
      <c r="AV88" s="305"/>
    </row>
    <row r="89" spans="2:48" ht="24" customHeight="1" x14ac:dyDescent="0.2">
      <c r="B89" s="438" t="s">
        <v>254</v>
      </c>
      <c r="C89" s="492" t="s">
        <v>243</v>
      </c>
      <c r="D89" s="492"/>
      <c r="E89" s="492" t="s">
        <v>10</v>
      </c>
      <c r="F89" s="492"/>
      <c r="G89" s="493" t="s">
        <v>437</v>
      </c>
      <c r="H89" s="493"/>
      <c r="I89" s="493"/>
      <c r="J89" s="493"/>
      <c r="K89" s="493"/>
      <c r="L89" s="493"/>
      <c r="M89" s="493"/>
      <c r="N89" s="493"/>
      <c r="O89" s="493"/>
      <c r="P89" s="493"/>
      <c r="Q89" s="493"/>
      <c r="R89" s="493"/>
      <c r="S89" s="493"/>
      <c r="T89" s="494" t="s">
        <v>12</v>
      </c>
      <c r="U89" s="494"/>
      <c r="V89" s="487">
        <v>45.89</v>
      </c>
      <c r="W89" s="487"/>
      <c r="X89" s="487"/>
      <c r="Y89" s="484">
        <f>Y56</f>
        <v>10.86</v>
      </c>
      <c r="Z89" s="484"/>
      <c r="AA89" s="484"/>
      <c r="AB89" s="485">
        <f>V89*Y89</f>
        <v>498.36539999999997</v>
      </c>
      <c r="AC89" s="485"/>
      <c r="AD89" s="485"/>
      <c r="AE89" s="485"/>
      <c r="AF89" s="486">
        <v>13.59</v>
      </c>
      <c r="AG89" s="486"/>
      <c r="AH89" s="486"/>
      <c r="AI89" s="485">
        <f>V89*AF89</f>
        <v>623.64509999999996</v>
      </c>
      <c r="AJ89" s="485"/>
      <c r="AK89" s="485"/>
      <c r="AL89" s="485"/>
      <c r="AM89" s="485"/>
      <c r="AN89" s="485"/>
      <c r="AO89" s="60">
        <v>504.08</v>
      </c>
      <c r="AV89" s="305"/>
    </row>
    <row r="90" spans="2:48" ht="24" customHeight="1" x14ac:dyDescent="0.2">
      <c r="B90" s="438" t="s">
        <v>423</v>
      </c>
      <c r="C90" s="492">
        <v>38135</v>
      </c>
      <c r="D90" s="492"/>
      <c r="E90" s="485" t="s">
        <v>318</v>
      </c>
      <c r="F90" s="485"/>
      <c r="G90" s="509" t="s">
        <v>438</v>
      </c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1"/>
      <c r="T90" s="485" t="s">
        <v>12</v>
      </c>
      <c r="U90" s="485"/>
      <c r="V90" s="487">
        <v>18.88</v>
      </c>
      <c r="W90" s="487"/>
      <c r="X90" s="487"/>
      <c r="Y90" s="485">
        <f>Y57</f>
        <v>36.340000000000003</v>
      </c>
      <c r="Z90" s="485"/>
      <c r="AA90" s="485"/>
      <c r="AB90" s="485">
        <f>V90*Y90</f>
        <v>686.0992</v>
      </c>
      <c r="AC90" s="485"/>
      <c r="AD90" s="485"/>
      <c r="AE90" s="485"/>
      <c r="AF90" s="486">
        <v>45.46</v>
      </c>
      <c r="AG90" s="486"/>
      <c r="AH90" s="486"/>
      <c r="AI90" s="485">
        <f>V90*AF90</f>
        <v>858.28480000000002</v>
      </c>
      <c r="AJ90" s="485"/>
      <c r="AK90" s="485"/>
      <c r="AL90" s="485"/>
      <c r="AM90" s="485"/>
      <c r="AN90" s="485"/>
      <c r="AO90" s="60"/>
      <c r="AV90" s="305"/>
    </row>
    <row r="91" spans="2:48" ht="24" customHeight="1" x14ac:dyDescent="0.2">
      <c r="B91" s="344" t="s">
        <v>134</v>
      </c>
      <c r="C91" s="485"/>
      <c r="D91" s="485"/>
      <c r="E91" s="485"/>
      <c r="F91" s="485"/>
      <c r="G91" s="495" t="s">
        <v>131</v>
      </c>
      <c r="H91" s="496"/>
      <c r="I91" s="496"/>
      <c r="J91" s="496"/>
      <c r="K91" s="496"/>
      <c r="L91" s="496"/>
      <c r="M91" s="496"/>
      <c r="N91" s="496"/>
      <c r="O91" s="496"/>
      <c r="P91" s="496"/>
      <c r="Q91" s="496"/>
      <c r="R91" s="496"/>
      <c r="S91" s="497"/>
      <c r="T91" s="485"/>
      <c r="U91" s="485"/>
      <c r="V91" s="485"/>
      <c r="W91" s="485"/>
      <c r="X91" s="485"/>
      <c r="Y91" s="485"/>
      <c r="Z91" s="485"/>
      <c r="AA91" s="485"/>
      <c r="AB91" s="485"/>
      <c r="AC91" s="485"/>
      <c r="AD91" s="485"/>
      <c r="AE91" s="485"/>
      <c r="AF91" s="486"/>
      <c r="AG91" s="486"/>
      <c r="AH91" s="486"/>
      <c r="AI91" s="507">
        <f>SUM(AI92:AI96)</f>
        <v>1798.7560999999998</v>
      </c>
      <c r="AJ91" s="507"/>
      <c r="AK91" s="507"/>
      <c r="AL91" s="507"/>
      <c r="AM91" s="507"/>
      <c r="AN91" s="507"/>
      <c r="AO91" s="60"/>
      <c r="AV91" s="305"/>
    </row>
    <row r="92" spans="2:48" ht="24" customHeight="1" x14ac:dyDescent="0.2">
      <c r="B92" s="343" t="s">
        <v>255</v>
      </c>
      <c r="C92" s="508">
        <v>72947</v>
      </c>
      <c r="D92" s="508"/>
      <c r="E92" s="485" t="s">
        <v>10</v>
      </c>
      <c r="F92" s="485"/>
      <c r="G92" s="509" t="s">
        <v>382</v>
      </c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1"/>
      <c r="T92" s="485" t="s">
        <v>89</v>
      </c>
      <c r="U92" s="485"/>
      <c r="V92" s="512">
        <v>15.77</v>
      </c>
      <c r="W92" s="508"/>
      <c r="X92" s="508"/>
      <c r="Y92" s="485">
        <v>20.73</v>
      </c>
      <c r="Z92" s="485"/>
      <c r="AA92" s="485"/>
      <c r="AB92" s="485">
        <f>V92*Y92</f>
        <v>326.91210000000001</v>
      </c>
      <c r="AC92" s="485"/>
      <c r="AD92" s="485"/>
      <c r="AE92" s="485"/>
      <c r="AF92" s="486">
        <v>25.93</v>
      </c>
      <c r="AG92" s="486"/>
      <c r="AH92" s="486"/>
      <c r="AI92" s="485">
        <f>V92*AF92</f>
        <v>408.91609999999997</v>
      </c>
      <c r="AJ92" s="485"/>
      <c r="AK92" s="485"/>
      <c r="AL92" s="485"/>
      <c r="AM92" s="485"/>
      <c r="AN92" s="485"/>
      <c r="AO92" s="60"/>
      <c r="AV92" s="305"/>
    </row>
    <row r="93" spans="2:48" ht="24" customHeight="1" x14ac:dyDescent="0.2">
      <c r="B93" s="340" t="s">
        <v>256</v>
      </c>
      <c r="C93" s="492" t="s">
        <v>180</v>
      </c>
      <c r="D93" s="492"/>
      <c r="E93" s="492" t="s">
        <v>146</v>
      </c>
      <c r="F93" s="492"/>
      <c r="G93" s="493" t="s">
        <v>383</v>
      </c>
      <c r="H93" s="493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4" t="s">
        <v>89</v>
      </c>
      <c r="U93" s="494"/>
      <c r="V93" s="487">
        <v>1.2</v>
      </c>
      <c r="W93" s="487"/>
      <c r="X93" s="487"/>
      <c r="Y93" s="488">
        <f>Y60</f>
        <v>307.91000000000003</v>
      </c>
      <c r="Z93" s="488"/>
      <c r="AA93" s="488"/>
      <c r="AB93" s="486">
        <f>IF(T93="","",ROUND(V93*Y93,2))</f>
        <v>369.49</v>
      </c>
      <c r="AC93" s="486"/>
      <c r="AD93" s="486"/>
      <c r="AE93" s="486"/>
      <c r="AF93" s="485">
        <v>385.2</v>
      </c>
      <c r="AG93" s="485"/>
      <c r="AH93" s="485"/>
      <c r="AI93" s="485">
        <f>V93*AF93</f>
        <v>462.23999999999995</v>
      </c>
      <c r="AJ93" s="485"/>
      <c r="AK93" s="485"/>
      <c r="AL93" s="485"/>
      <c r="AM93" s="485"/>
      <c r="AN93" s="485"/>
      <c r="AO93" s="60"/>
      <c r="AV93" s="305"/>
    </row>
    <row r="94" spans="2:48" ht="24" customHeight="1" x14ac:dyDescent="0.2">
      <c r="B94" s="340" t="s">
        <v>135</v>
      </c>
      <c r="C94" s="492" t="s">
        <v>179</v>
      </c>
      <c r="D94" s="492"/>
      <c r="E94" s="492" t="s">
        <v>146</v>
      </c>
      <c r="F94" s="492"/>
      <c r="G94" s="493" t="s">
        <v>388</v>
      </c>
      <c r="H94" s="493"/>
      <c r="I94" s="493"/>
      <c r="J94" s="493"/>
      <c r="K94" s="493"/>
      <c r="L94" s="493"/>
      <c r="M94" s="493"/>
      <c r="N94" s="493"/>
      <c r="O94" s="493"/>
      <c r="P94" s="493"/>
      <c r="Q94" s="493"/>
      <c r="R94" s="493"/>
      <c r="S94" s="493"/>
      <c r="T94" s="494" t="s">
        <v>133</v>
      </c>
      <c r="U94" s="494"/>
      <c r="V94" s="487">
        <v>4</v>
      </c>
      <c r="W94" s="487"/>
      <c r="X94" s="487"/>
      <c r="Y94" s="488">
        <v>91.53</v>
      </c>
      <c r="Z94" s="488"/>
      <c r="AA94" s="488"/>
      <c r="AB94" s="486">
        <f>IF(T94="","",ROUND(V94*Y94,2))</f>
        <v>366.12</v>
      </c>
      <c r="AC94" s="486"/>
      <c r="AD94" s="486"/>
      <c r="AE94" s="486"/>
      <c r="AF94" s="485">
        <v>114.51</v>
      </c>
      <c r="AG94" s="485"/>
      <c r="AH94" s="485"/>
      <c r="AI94" s="485">
        <f>V94*AF94</f>
        <v>458.04</v>
      </c>
      <c r="AJ94" s="485"/>
      <c r="AK94" s="485"/>
      <c r="AL94" s="485"/>
      <c r="AM94" s="485"/>
      <c r="AN94" s="485"/>
      <c r="AO94" s="60"/>
      <c r="AV94" s="305"/>
    </row>
    <row r="95" spans="2:48" ht="24" customHeight="1" x14ac:dyDescent="0.2">
      <c r="B95" s="340" t="s">
        <v>257</v>
      </c>
      <c r="C95" s="492" t="s">
        <v>132</v>
      </c>
      <c r="D95" s="492"/>
      <c r="E95" s="492" t="s">
        <v>10</v>
      </c>
      <c r="F95" s="492"/>
      <c r="G95" s="493" t="s">
        <v>387</v>
      </c>
      <c r="H95" s="493"/>
      <c r="I95" s="493"/>
      <c r="J95" s="493"/>
      <c r="K95" s="493"/>
      <c r="L95" s="493"/>
      <c r="M95" s="493"/>
      <c r="N95" s="493"/>
      <c r="O95" s="493"/>
      <c r="P95" s="493"/>
      <c r="Q95" s="493"/>
      <c r="R95" s="493"/>
      <c r="S95" s="493"/>
      <c r="T95" s="494" t="s">
        <v>133</v>
      </c>
      <c r="U95" s="494"/>
      <c r="V95" s="487">
        <v>2</v>
      </c>
      <c r="W95" s="487"/>
      <c r="X95" s="487"/>
      <c r="Y95" s="488">
        <v>96.14</v>
      </c>
      <c r="Z95" s="488"/>
      <c r="AA95" s="488"/>
      <c r="AB95" s="486">
        <f>IF(T95="","",ROUND(V95*Y95,2))</f>
        <v>192.28</v>
      </c>
      <c r="AC95" s="486"/>
      <c r="AD95" s="486"/>
      <c r="AE95" s="486"/>
      <c r="AF95" s="485">
        <v>120.27</v>
      </c>
      <c r="AG95" s="485"/>
      <c r="AH95" s="485"/>
      <c r="AI95" s="485">
        <f>V95*AF95</f>
        <v>240.54</v>
      </c>
      <c r="AJ95" s="485"/>
      <c r="AK95" s="485"/>
      <c r="AL95" s="485"/>
      <c r="AM95" s="485"/>
      <c r="AN95" s="485"/>
      <c r="AO95" s="60"/>
      <c r="AV95" s="305"/>
    </row>
    <row r="96" spans="2:48" ht="24" customHeight="1" x14ac:dyDescent="0.2">
      <c r="B96" s="340" t="s">
        <v>258</v>
      </c>
      <c r="C96" s="492" t="s">
        <v>151</v>
      </c>
      <c r="D96" s="492"/>
      <c r="E96" s="492" t="s">
        <v>146</v>
      </c>
      <c r="F96" s="492"/>
      <c r="G96" s="493" t="s">
        <v>384</v>
      </c>
      <c r="H96" s="493"/>
      <c r="I96" s="493"/>
      <c r="J96" s="493"/>
      <c r="K96" s="493"/>
      <c r="L96" s="493"/>
      <c r="M96" s="493"/>
      <c r="N96" s="493"/>
      <c r="O96" s="493"/>
      <c r="P96" s="493"/>
      <c r="Q96" s="493"/>
      <c r="R96" s="493"/>
      <c r="S96" s="493"/>
      <c r="T96" s="494" t="s">
        <v>133</v>
      </c>
      <c r="U96" s="494"/>
      <c r="V96" s="487">
        <v>2</v>
      </c>
      <c r="W96" s="487"/>
      <c r="X96" s="487"/>
      <c r="Y96" s="488">
        <v>91.53</v>
      </c>
      <c r="Z96" s="488"/>
      <c r="AA96" s="488"/>
      <c r="AB96" s="486">
        <f>IF(T96="","",ROUND(V96*Y96,2))</f>
        <v>183.06</v>
      </c>
      <c r="AC96" s="486"/>
      <c r="AD96" s="486"/>
      <c r="AE96" s="486"/>
      <c r="AF96" s="485">
        <v>114.51</v>
      </c>
      <c r="AG96" s="485"/>
      <c r="AH96" s="485"/>
      <c r="AI96" s="485">
        <f>V96*AF96</f>
        <v>229.02</v>
      </c>
      <c r="AJ96" s="485"/>
      <c r="AK96" s="485"/>
      <c r="AL96" s="485"/>
      <c r="AM96" s="485"/>
      <c r="AN96" s="485"/>
      <c r="AO96" s="60"/>
      <c r="AV96" s="305"/>
    </row>
    <row r="97" spans="2:48" ht="24" customHeight="1" x14ac:dyDescent="0.2">
      <c r="B97" s="340"/>
      <c r="C97" s="492"/>
      <c r="D97" s="492"/>
      <c r="E97" s="492"/>
      <c r="F97" s="492"/>
      <c r="G97" s="493"/>
      <c r="H97" s="493"/>
      <c r="I97" s="493"/>
      <c r="J97" s="493"/>
      <c r="K97" s="493"/>
      <c r="L97" s="493"/>
      <c r="M97" s="493"/>
      <c r="N97" s="493"/>
      <c r="O97" s="493"/>
      <c r="P97" s="493"/>
      <c r="Q97" s="493"/>
      <c r="R97" s="493"/>
      <c r="S97" s="493"/>
      <c r="T97" s="494"/>
      <c r="U97" s="494"/>
      <c r="V97" s="487"/>
      <c r="W97" s="487"/>
      <c r="X97" s="487"/>
      <c r="Y97" s="533"/>
      <c r="Z97" s="533"/>
      <c r="AA97" s="533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60"/>
      <c r="AV97" s="323"/>
    </row>
    <row r="98" spans="2:48" ht="24" customHeight="1" x14ac:dyDescent="0.25">
      <c r="B98" s="340"/>
      <c r="C98" s="492"/>
      <c r="D98" s="492"/>
      <c r="E98" s="492"/>
      <c r="F98" s="492"/>
      <c r="G98" s="555" t="s">
        <v>389</v>
      </c>
      <c r="H98" s="552"/>
      <c r="I98" s="552"/>
      <c r="J98" s="552"/>
      <c r="K98" s="552"/>
      <c r="L98" s="552"/>
      <c r="M98" s="552"/>
      <c r="N98" s="552"/>
      <c r="O98" s="552"/>
      <c r="P98" s="552"/>
      <c r="Q98" s="552"/>
      <c r="R98" s="552"/>
      <c r="S98" s="552"/>
      <c r="T98" s="494"/>
      <c r="U98" s="494"/>
      <c r="V98" s="487"/>
      <c r="W98" s="487"/>
      <c r="X98" s="487"/>
      <c r="Y98" s="488"/>
      <c r="Z98" s="488"/>
      <c r="AA98" s="488"/>
      <c r="AB98" s="486"/>
      <c r="AC98" s="486"/>
      <c r="AD98" s="486"/>
      <c r="AE98" s="486"/>
      <c r="AF98" s="486"/>
      <c r="AG98" s="486"/>
      <c r="AH98" s="486"/>
      <c r="AI98" s="553">
        <f>AI99+AI101+AI108+AI112+AI118+AI120+AI125</f>
        <v>111959.2528</v>
      </c>
      <c r="AJ98" s="553"/>
      <c r="AK98" s="553"/>
      <c r="AL98" s="553"/>
      <c r="AM98" s="553"/>
      <c r="AN98" s="553"/>
      <c r="AO98" s="60">
        <f>AI98</f>
        <v>111959.2528</v>
      </c>
      <c r="AV98" s="323"/>
    </row>
    <row r="99" spans="2:48" ht="24" customHeight="1" x14ac:dyDescent="0.2">
      <c r="B99" s="340"/>
      <c r="C99" s="492"/>
      <c r="D99" s="492"/>
      <c r="E99" s="492"/>
      <c r="F99" s="492"/>
      <c r="G99" s="529" t="s">
        <v>287</v>
      </c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494"/>
      <c r="U99" s="494"/>
      <c r="V99" s="487"/>
      <c r="W99" s="487"/>
      <c r="X99" s="487"/>
      <c r="Y99" s="488"/>
      <c r="Z99" s="488"/>
      <c r="AA99" s="488"/>
      <c r="AB99" s="486"/>
      <c r="AC99" s="486"/>
      <c r="AD99" s="486"/>
      <c r="AE99" s="486"/>
      <c r="AF99" s="486"/>
      <c r="AG99" s="486"/>
      <c r="AH99" s="486"/>
      <c r="AI99" s="532">
        <f>AI100</f>
        <v>574.03689999999995</v>
      </c>
      <c r="AJ99" s="532"/>
      <c r="AK99" s="532"/>
      <c r="AL99" s="532"/>
      <c r="AM99" s="532"/>
      <c r="AN99" s="532"/>
      <c r="AO99" s="60"/>
      <c r="AV99" s="323"/>
    </row>
    <row r="100" spans="2:48" ht="24" customHeight="1" x14ac:dyDescent="0.2">
      <c r="B100" s="444" t="s">
        <v>245</v>
      </c>
      <c r="C100" s="545" t="s">
        <v>69</v>
      </c>
      <c r="D100" s="545"/>
      <c r="E100" s="545" t="s">
        <v>10</v>
      </c>
      <c r="F100" s="545"/>
      <c r="G100" s="546" t="s">
        <v>368</v>
      </c>
      <c r="H100" s="546"/>
      <c r="I100" s="546"/>
      <c r="J100" s="546"/>
      <c r="K100" s="546"/>
      <c r="L100" s="546"/>
      <c r="M100" s="546"/>
      <c r="N100" s="546"/>
      <c r="O100" s="546"/>
      <c r="P100" s="546"/>
      <c r="Q100" s="546"/>
      <c r="R100" s="546"/>
      <c r="S100" s="546"/>
      <c r="T100" s="547" t="s">
        <v>12</v>
      </c>
      <c r="U100" s="547"/>
      <c r="V100" s="548">
        <v>1400.09</v>
      </c>
      <c r="W100" s="548"/>
      <c r="X100" s="548"/>
      <c r="Y100" s="549">
        <v>0.33</v>
      </c>
      <c r="Z100" s="549"/>
      <c r="AA100" s="549"/>
      <c r="AB100" s="550">
        <f t="shared" ref="AB100:AB110" si="12">IF(T100="","",ROUND(V100*Y100,2))</f>
        <v>462.03</v>
      </c>
      <c r="AC100" s="550"/>
      <c r="AD100" s="550"/>
      <c r="AE100" s="550"/>
      <c r="AF100" s="550">
        <v>0.41</v>
      </c>
      <c r="AG100" s="550"/>
      <c r="AH100" s="550"/>
      <c r="AI100" s="550">
        <f>V100*AF100</f>
        <v>574.03689999999995</v>
      </c>
      <c r="AJ100" s="550"/>
      <c r="AK100" s="550"/>
      <c r="AL100" s="550"/>
      <c r="AM100" s="550"/>
      <c r="AN100" s="550"/>
      <c r="AO100" s="60"/>
      <c r="AV100" s="323"/>
    </row>
    <row r="101" spans="2:48" ht="24" customHeight="1" x14ac:dyDescent="0.2">
      <c r="B101" s="340">
        <v>2</v>
      </c>
      <c r="C101" s="492"/>
      <c r="D101" s="492"/>
      <c r="E101" s="492"/>
      <c r="F101" s="492"/>
      <c r="G101" s="529" t="s">
        <v>244</v>
      </c>
      <c r="H101" s="529"/>
      <c r="I101" s="529"/>
      <c r="J101" s="529"/>
      <c r="K101" s="529"/>
      <c r="L101" s="529"/>
      <c r="M101" s="529"/>
      <c r="N101" s="529"/>
      <c r="O101" s="529"/>
      <c r="P101" s="529"/>
      <c r="Q101" s="529"/>
      <c r="R101" s="529"/>
      <c r="S101" s="529"/>
      <c r="T101" s="494"/>
      <c r="U101" s="494"/>
      <c r="V101" s="487"/>
      <c r="W101" s="487"/>
      <c r="X101" s="487"/>
      <c r="Y101" s="488"/>
      <c r="Z101" s="488"/>
      <c r="AA101" s="488"/>
      <c r="AB101" s="486" t="str">
        <f t="shared" si="12"/>
        <v/>
      </c>
      <c r="AC101" s="486"/>
      <c r="AD101" s="486"/>
      <c r="AE101" s="486"/>
      <c r="AF101" s="486" t="str">
        <f t="shared" ref="AF101" si="13">IF(T101="","",ROUND(Y101*(1+$AJ$18),2))</f>
        <v/>
      </c>
      <c r="AG101" s="486"/>
      <c r="AH101" s="486"/>
      <c r="AI101" s="532">
        <f>SUM(AI102:AI107)</f>
        <v>10534.1911</v>
      </c>
      <c r="AJ101" s="532"/>
      <c r="AK101" s="532"/>
      <c r="AL101" s="532"/>
      <c r="AM101" s="532"/>
      <c r="AN101" s="532"/>
      <c r="AO101" s="60"/>
      <c r="AV101" s="323"/>
    </row>
    <row r="102" spans="2:48" ht="24" customHeight="1" x14ac:dyDescent="0.2">
      <c r="B102" s="340" t="s">
        <v>246</v>
      </c>
      <c r="C102" s="492" t="s">
        <v>14</v>
      </c>
      <c r="D102" s="492"/>
      <c r="E102" s="492" t="s">
        <v>10</v>
      </c>
      <c r="F102" s="492"/>
      <c r="G102" s="493" t="s">
        <v>369</v>
      </c>
      <c r="H102" s="493"/>
      <c r="I102" s="493"/>
      <c r="J102" s="493"/>
      <c r="K102" s="493"/>
      <c r="L102" s="493"/>
      <c r="M102" s="493"/>
      <c r="N102" s="493"/>
      <c r="O102" s="493"/>
      <c r="P102" s="493"/>
      <c r="Q102" s="493"/>
      <c r="R102" s="493"/>
      <c r="S102" s="493"/>
      <c r="T102" s="494" t="s">
        <v>53</v>
      </c>
      <c r="U102" s="494"/>
      <c r="V102" s="487">
        <v>210.01</v>
      </c>
      <c r="W102" s="487"/>
      <c r="X102" s="487"/>
      <c r="Y102" s="488">
        <v>4.4400000000000004</v>
      </c>
      <c r="Z102" s="488"/>
      <c r="AA102" s="488"/>
      <c r="AB102" s="486">
        <f t="shared" si="12"/>
        <v>932.44</v>
      </c>
      <c r="AC102" s="486"/>
      <c r="AD102" s="486"/>
      <c r="AE102" s="486"/>
      <c r="AF102" s="486">
        <v>5.55</v>
      </c>
      <c r="AG102" s="486"/>
      <c r="AH102" s="486"/>
      <c r="AI102" s="486">
        <f t="shared" ref="AI102:AI107" si="14">AF102*V102</f>
        <v>1165.5554999999999</v>
      </c>
      <c r="AJ102" s="486"/>
      <c r="AK102" s="486"/>
      <c r="AL102" s="486"/>
      <c r="AM102" s="486"/>
      <c r="AN102" s="486"/>
      <c r="AO102" s="60"/>
      <c r="AV102" s="323"/>
    </row>
    <row r="103" spans="2:48" ht="24" customHeight="1" x14ac:dyDescent="0.2">
      <c r="B103" s="340" t="s">
        <v>266</v>
      </c>
      <c r="C103" s="492" t="s">
        <v>367</v>
      </c>
      <c r="D103" s="492"/>
      <c r="E103" s="492" t="s">
        <v>10</v>
      </c>
      <c r="F103" s="492"/>
      <c r="G103" s="493" t="s">
        <v>370</v>
      </c>
      <c r="H103" s="493"/>
      <c r="I103" s="493"/>
      <c r="J103" s="493"/>
      <c r="K103" s="493"/>
      <c r="L103" s="493"/>
      <c r="M103" s="493"/>
      <c r="N103" s="493"/>
      <c r="O103" s="493"/>
      <c r="P103" s="493"/>
      <c r="Q103" s="493"/>
      <c r="R103" s="493"/>
      <c r="S103" s="493"/>
      <c r="T103" s="494" t="s">
        <v>63</v>
      </c>
      <c r="U103" s="494"/>
      <c r="V103" s="487">
        <v>210.01</v>
      </c>
      <c r="W103" s="487"/>
      <c r="X103" s="487"/>
      <c r="Y103" s="488">
        <v>1.31</v>
      </c>
      <c r="Z103" s="488"/>
      <c r="AA103" s="488"/>
      <c r="AB103" s="542">
        <f t="shared" si="12"/>
        <v>275.11</v>
      </c>
      <c r="AC103" s="543"/>
      <c r="AD103" s="543"/>
      <c r="AE103" s="544"/>
      <c r="AF103" s="486">
        <v>1.64</v>
      </c>
      <c r="AG103" s="486"/>
      <c r="AH103" s="486"/>
      <c r="AI103" s="486">
        <f t="shared" si="14"/>
        <v>344.41639999999995</v>
      </c>
      <c r="AJ103" s="486"/>
      <c r="AK103" s="486"/>
      <c r="AL103" s="486"/>
      <c r="AM103" s="486"/>
      <c r="AN103" s="486"/>
      <c r="AO103" s="60"/>
      <c r="AV103" s="323"/>
    </row>
    <row r="104" spans="2:48" ht="24" customHeight="1" x14ac:dyDescent="0.2">
      <c r="B104" s="341" t="s">
        <v>247</v>
      </c>
      <c r="C104" s="492" t="s">
        <v>62</v>
      </c>
      <c r="D104" s="492"/>
      <c r="E104" s="492" t="s">
        <v>10</v>
      </c>
      <c r="F104" s="492"/>
      <c r="G104" s="493" t="s">
        <v>371</v>
      </c>
      <c r="H104" s="493"/>
      <c r="I104" s="493"/>
      <c r="J104" s="493"/>
      <c r="K104" s="493"/>
      <c r="L104" s="493"/>
      <c r="M104" s="493"/>
      <c r="N104" s="493"/>
      <c r="O104" s="493"/>
      <c r="P104" s="493"/>
      <c r="Q104" s="493"/>
      <c r="R104" s="493"/>
      <c r="S104" s="493"/>
      <c r="T104" s="494" t="s">
        <v>12</v>
      </c>
      <c r="U104" s="494"/>
      <c r="V104" s="487">
        <v>1400.09</v>
      </c>
      <c r="W104" s="487"/>
      <c r="X104" s="487"/>
      <c r="Y104" s="488">
        <v>1.2</v>
      </c>
      <c r="Z104" s="488"/>
      <c r="AA104" s="488"/>
      <c r="AB104" s="486">
        <f t="shared" si="12"/>
        <v>1680.11</v>
      </c>
      <c r="AC104" s="486"/>
      <c r="AD104" s="486"/>
      <c r="AE104" s="486"/>
      <c r="AF104" s="486">
        <v>1.5</v>
      </c>
      <c r="AG104" s="486"/>
      <c r="AH104" s="486"/>
      <c r="AI104" s="486">
        <f t="shared" si="14"/>
        <v>2100.1349999999998</v>
      </c>
      <c r="AJ104" s="486"/>
      <c r="AK104" s="486"/>
      <c r="AL104" s="486"/>
      <c r="AM104" s="486"/>
      <c r="AN104" s="486"/>
      <c r="AO104" s="60"/>
      <c r="AV104" s="323"/>
    </row>
    <row r="105" spans="2:48" ht="24" customHeight="1" x14ac:dyDescent="0.2">
      <c r="B105" s="341" t="s">
        <v>248</v>
      </c>
      <c r="C105" s="492" t="s">
        <v>316</v>
      </c>
      <c r="D105" s="492"/>
      <c r="E105" s="492" t="s">
        <v>10</v>
      </c>
      <c r="F105" s="492"/>
      <c r="G105" s="493" t="s">
        <v>372</v>
      </c>
      <c r="H105" s="493"/>
      <c r="I105" s="493"/>
      <c r="J105" s="493"/>
      <c r="K105" s="493"/>
      <c r="L105" s="493"/>
      <c r="M105" s="493"/>
      <c r="N105" s="493"/>
      <c r="O105" s="493"/>
      <c r="P105" s="493"/>
      <c r="Q105" s="493"/>
      <c r="R105" s="493"/>
      <c r="S105" s="493"/>
      <c r="T105" s="494" t="s">
        <v>53</v>
      </c>
      <c r="U105" s="494"/>
      <c r="V105" s="487">
        <v>210.01</v>
      </c>
      <c r="W105" s="487"/>
      <c r="X105" s="487"/>
      <c r="Y105" s="533">
        <v>5.9</v>
      </c>
      <c r="Z105" s="533"/>
      <c r="AA105" s="533"/>
      <c r="AB105" s="485">
        <f t="shared" si="12"/>
        <v>1239.06</v>
      </c>
      <c r="AC105" s="485"/>
      <c r="AD105" s="485"/>
      <c r="AE105" s="485"/>
      <c r="AF105" s="485">
        <v>7.38</v>
      </c>
      <c r="AG105" s="485"/>
      <c r="AH105" s="485"/>
      <c r="AI105" s="486">
        <f t="shared" si="14"/>
        <v>1549.8737999999998</v>
      </c>
      <c r="AJ105" s="486"/>
      <c r="AK105" s="486"/>
      <c r="AL105" s="486"/>
      <c r="AM105" s="486"/>
      <c r="AN105" s="486"/>
      <c r="AO105" s="60"/>
      <c r="AV105" s="323"/>
    </row>
    <row r="106" spans="2:48" ht="24" customHeight="1" x14ac:dyDescent="0.2">
      <c r="B106" s="341" t="s">
        <v>249</v>
      </c>
      <c r="C106" s="492" t="s">
        <v>323</v>
      </c>
      <c r="D106" s="492"/>
      <c r="E106" s="492" t="s">
        <v>10</v>
      </c>
      <c r="F106" s="492"/>
      <c r="G106" s="540" t="s">
        <v>373</v>
      </c>
      <c r="H106" s="540"/>
      <c r="I106" s="540"/>
      <c r="J106" s="540"/>
      <c r="K106" s="540"/>
      <c r="L106" s="540"/>
      <c r="M106" s="540"/>
      <c r="N106" s="540"/>
      <c r="O106" s="540"/>
      <c r="P106" s="540"/>
      <c r="Q106" s="540"/>
      <c r="R106" s="540"/>
      <c r="S106" s="540"/>
      <c r="T106" s="494" t="s">
        <v>152</v>
      </c>
      <c r="U106" s="494"/>
      <c r="V106" s="487">
        <v>2520.17</v>
      </c>
      <c r="W106" s="487"/>
      <c r="X106" s="487"/>
      <c r="Y106" s="533">
        <v>0.87</v>
      </c>
      <c r="Z106" s="533"/>
      <c r="AA106" s="533"/>
      <c r="AB106" s="485">
        <f t="shared" si="12"/>
        <v>2192.5500000000002</v>
      </c>
      <c r="AC106" s="485"/>
      <c r="AD106" s="485"/>
      <c r="AE106" s="485"/>
      <c r="AF106" s="485">
        <v>1.0900000000000001</v>
      </c>
      <c r="AG106" s="485"/>
      <c r="AH106" s="485"/>
      <c r="AI106" s="486">
        <f t="shared" si="14"/>
        <v>2746.9853000000003</v>
      </c>
      <c r="AJ106" s="486"/>
      <c r="AK106" s="486"/>
      <c r="AL106" s="486"/>
      <c r="AM106" s="486"/>
      <c r="AN106" s="486"/>
      <c r="AO106" s="60"/>
      <c r="AV106" s="323"/>
    </row>
    <row r="107" spans="2:48" ht="24" customHeight="1" x14ac:dyDescent="0.2">
      <c r="B107" s="341" t="s">
        <v>250</v>
      </c>
      <c r="C107" s="492" t="s">
        <v>229</v>
      </c>
      <c r="D107" s="492"/>
      <c r="E107" s="541" t="s">
        <v>385</v>
      </c>
      <c r="F107" s="541"/>
      <c r="G107" s="493" t="s">
        <v>374</v>
      </c>
      <c r="H107" s="493"/>
      <c r="I107" s="493"/>
      <c r="J107" s="493"/>
      <c r="K107" s="493"/>
      <c r="L107" s="493"/>
      <c r="M107" s="493"/>
      <c r="N107" s="493"/>
      <c r="O107" s="493"/>
      <c r="P107" s="493"/>
      <c r="Q107" s="493"/>
      <c r="R107" s="493"/>
      <c r="S107" s="493"/>
      <c r="T107" s="494" t="s">
        <v>53</v>
      </c>
      <c r="U107" s="494"/>
      <c r="V107" s="487">
        <v>210.01</v>
      </c>
      <c r="W107" s="487"/>
      <c r="X107" s="487"/>
      <c r="Y107" s="533">
        <v>10</v>
      </c>
      <c r="Z107" s="533"/>
      <c r="AA107" s="533"/>
      <c r="AB107" s="485">
        <f t="shared" si="12"/>
        <v>2100.1</v>
      </c>
      <c r="AC107" s="485"/>
      <c r="AD107" s="485"/>
      <c r="AE107" s="485"/>
      <c r="AF107" s="485">
        <v>12.51</v>
      </c>
      <c r="AG107" s="485"/>
      <c r="AH107" s="485"/>
      <c r="AI107" s="486">
        <f t="shared" si="14"/>
        <v>2627.2250999999997</v>
      </c>
      <c r="AJ107" s="486"/>
      <c r="AK107" s="486"/>
      <c r="AL107" s="486"/>
      <c r="AM107" s="486"/>
      <c r="AN107" s="486"/>
      <c r="AO107" s="60"/>
      <c r="AV107" s="323"/>
    </row>
    <row r="108" spans="2:48" ht="24" customHeight="1" x14ac:dyDescent="0.2">
      <c r="B108" s="342">
        <v>3</v>
      </c>
      <c r="C108" s="513"/>
      <c r="D108" s="514"/>
      <c r="E108" s="513"/>
      <c r="F108" s="514"/>
      <c r="G108" s="529" t="s">
        <v>64</v>
      </c>
      <c r="H108" s="529"/>
      <c r="I108" s="529"/>
      <c r="J108" s="529"/>
      <c r="K108" s="529"/>
      <c r="L108" s="529"/>
      <c r="M108" s="529"/>
      <c r="N108" s="529"/>
      <c r="O108" s="529"/>
      <c r="P108" s="529"/>
      <c r="Q108" s="529"/>
      <c r="R108" s="529"/>
      <c r="S108" s="529"/>
      <c r="T108" s="494"/>
      <c r="U108" s="494"/>
      <c r="V108" s="487"/>
      <c r="W108" s="487"/>
      <c r="X108" s="487"/>
      <c r="Y108" s="533"/>
      <c r="Z108" s="533"/>
      <c r="AA108" s="533"/>
      <c r="AB108" s="485" t="str">
        <f t="shared" si="12"/>
        <v/>
      </c>
      <c r="AC108" s="485"/>
      <c r="AD108" s="485"/>
      <c r="AE108" s="485"/>
      <c r="AF108" s="485" t="str">
        <f>IF(T108="","",ROUND(Y108*(1+$AJ$18),2))</f>
        <v/>
      </c>
      <c r="AG108" s="485"/>
      <c r="AH108" s="485"/>
      <c r="AI108" s="507">
        <f>SUM(AI109:AI110)</f>
        <v>10254.8586</v>
      </c>
      <c r="AJ108" s="507"/>
      <c r="AK108" s="507"/>
      <c r="AL108" s="507"/>
      <c r="AM108" s="507"/>
      <c r="AN108" s="507"/>
      <c r="AO108" s="60"/>
      <c r="AV108" s="323"/>
    </row>
    <row r="109" spans="2:48" ht="24" customHeight="1" x14ac:dyDescent="0.2">
      <c r="B109" s="341" t="s">
        <v>4</v>
      </c>
      <c r="C109" s="492" t="s">
        <v>317</v>
      </c>
      <c r="D109" s="492"/>
      <c r="E109" s="492" t="s">
        <v>10</v>
      </c>
      <c r="F109" s="492"/>
      <c r="G109" s="493" t="s">
        <v>386</v>
      </c>
      <c r="H109" s="493"/>
      <c r="I109" s="493"/>
      <c r="J109" s="493"/>
      <c r="K109" s="493"/>
      <c r="L109" s="493"/>
      <c r="M109" s="493"/>
      <c r="N109" s="493"/>
      <c r="O109" s="493"/>
      <c r="P109" s="493"/>
      <c r="Q109" s="493"/>
      <c r="R109" s="493"/>
      <c r="S109" s="493"/>
      <c r="T109" s="494" t="s">
        <v>12</v>
      </c>
      <c r="U109" s="494"/>
      <c r="V109" s="487">
        <v>1400.09</v>
      </c>
      <c r="W109" s="487"/>
      <c r="X109" s="487"/>
      <c r="Y109" s="533">
        <v>5.47</v>
      </c>
      <c r="Z109" s="533"/>
      <c r="AA109" s="533"/>
      <c r="AB109" s="485">
        <f t="shared" si="12"/>
        <v>7658.49</v>
      </c>
      <c r="AC109" s="485"/>
      <c r="AD109" s="485"/>
      <c r="AE109" s="485"/>
      <c r="AF109" s="485">
        <v>6.84</v>
      </c>
      <c r="AG109" s="485"/>
      <c r="AH109" s="485"/>
      <c r="AI109" s="485">
        <f>AF109*V109</f>
        <v>9576.6155999999992</v>
      </c>
      <c r="AJ109" s="485"/>
      <c r="AK109" s="485"/>
      <c r="AL109" s="485"/>
      <c r="AM109" s="485"/>
      <c r="AN109" s="485"/>
      <c r="AO109" s="60"/>
      <c r="AV109" s="323"/>
    </row>
    <row r="110" spans="2:48" ht="24" customHeight="1" x14ac:dyDescent="0.2">
      <c r="B110" s="341" t="s">
        <v>251</v>
      </c>
      <c r="C110" s="492" t="s">
        <v>136</v>
      </c>
      <c r="D110" s="492"/>
      <c r="E110" s="492" t="s">
        <v>10</v>
      </c>
      <c r="F110" s="492"/>
      <c r="G110" s="493" t="s">
        <v>375</v>
      </c>
      <c r="H110" s="493"/>
      <c r="I110" s="493"/>
      <c r="J110" s="493"/>
      <c r="K110" s="493"/>
      <c r="L110" s="493"/>
      <c r="M110" s="493"/>
      <c r="N110" s="493"/>
      <c r="O110" s="493"/>
      <c r="P110" s="493"/>
      <c r="Q110" s="493"/>
      <c r="R110" s="493"/>
      <c r="S110" s="493"/>
      <c r="T110" s="494" t="s">
        <v>65</v>
      </c>
      <c r="U110" s="494"/>
      <c r="V110" s="487">
        <v>929.1</v>
      </c>
      <c r="W110" s="487"/>
      <c r="X110" s="487"/>
      <c r="Y110" s="533">
        <v>0.57999999999999996</v>
      </c>
      <c r="Z110" s="533"/>
      <c r="AA110" s="533"/>
      <c r="AB110" s="536">
        <f t="shared" si="12"/>
        <v>538.88</v>
      </c>
      <c r="AC110" s="537"/>
      <c r="AD110" s="537"/>
      <c r="AE110" s="538"/>
      <c r="AF110" s="536">
        <v>0.73</v>
      </c>
      <c r="AG110" s="537"/>
      <c r="AH110" s="537"/>
      <c r="AI110" s="485">
        <f>AF110*V110</f>
        <v>678.24300000000005</v>
      </c>
      <c r="AJ110" s="485"/>
      <c r="AK110" s="485"/>
      <c r="AL110" s="485"/>
      <c r="AM110" s="485"/>
      <c r="AN110" s="485"/>
      <c r="AO110" s="60"/>
      <c r="AV110" s="323"/>
    </row>
    <row r="111" spans="2:48" ht="24" customHeight="1" x14ac:dyDescent="0.2">
      <c r="B111" s="341"/>
      <c r="C111" s="492"/>
      <c r="D111" s="492"/>
      <c r="E111" s="492"/>
      <c r="F111" s="492"/>
      <c r="G111" s="539"/>
      <c r="H111" s="539"/>
      <c r="I111" s="539"/>
      <c r="J111" s="539"/>
      <c r="K111" s="539"/>
      <c r="L111" s="539"/>
      <c r="M111" s="539"/>
      <c r="N111" s="539"/>
      <c r="O111" s="539"/>
      <c r="P111" s="539"/>
      <c r="Q111" s="539"/>
      <c r="R111" s="539"/>
      <c r="S111" s="539"/>
      <c r="T111" s="494"/>
      <c r="U111" s="494"/>
      <c r="V111" s="487"/>
      <c r="W111" s="487"/>
      <c r="X111" s="487"/>
      <c r="Y111" s="533"/>
      <c r="Z111" s="533"/>
      <c r="AA111" s="533"/>
      <c r="AB111" s="536"/>
      <c r="AC111" s="537"/>
      <c r="AD111" s="537"/>
      <c r="AE111" s="538"/>
      <c r="AF111" s="536"/>
      <c r="AG111" s="537"/>
      <c r="AH111" s="537"/>
      <c r="AI111" s="536"/>
      <c r="AJ111" s="537"/>
      <c r="AK111" s="537"/>
      <c r="AL111" s="537"/>
      <c r="AM111" s="537"/>
      <c r="AN111" s="537"/>
      <c r="AO111" s="60"/>
      <c r="AV111" s="323"/>
    </row>
    <row r="112" spans="2:48" ht="24" customHeight="1" x14ac:dyDescent="0.2">
      <c r="B112" s="339" t="s">
        <v>54</v>
      </c>
      <c r="C112" s="492"/>
      <c r="D112" s="492"/>
      <c r="E112" s="492"/>
      <c r="F112" s="492"/>
      <c r="G112" s="529" t="s">
        <v>149</v>
      </c>
      <c r="H112" s="529"/>
      <c r="I112" s="529"/>
      <c r="J112" s="529"/>
      <c r="K112" s="529"/>
      <c r="L112" s="529"/>
      <c r="M112" s="529"/>
      <c r="N112" s="529"/>
      <c r="O112" s="529"/>
      <c r="P112" s="529"/>
      <c r="Q112" s="529"/>
      <c r="R112" s="529"/>
      <c r="S112" s="529"/>
      <c r="T112" s="494"/>
      <c r="U112" s="494"/>
      <c r="V112" s="487"/>
      <c r="W112" s="487"/>
      <c r="X112" s="487"/>
      <c r="Y112" s="488"/>
      <c r="Z112" s="488"/>
      <c r="AA112" s="488"/>
      <c r="AB112" s="486" t="str">
        <f>IF(T112="","",ROUND(V112*Y112,2))</f>
        <v/>
      </c>
      <c r="AC112" s="486"/>
      <c r="AD112" s="486"/>
      <c r="AE112" s="486"/>
      <c r="AF112" s="486" t="str">
        <f>IF(T112="","",ROUND(Y112*(1+$AJ$18),2))</f>
        <v/>
      </c>
      <c r="AG112" s="486"/>
      <c r="AH112" s="486"/>
      <c r="AI112" s="532">
        <f>SUM(AI113:AI116)</f>
        <v>52017.703600000008</v>
      </c>
      <c r="AJ112" s="532"/>
      <c r="AK112" s="532"/>
      <c r="AL112" s="532"/>
      <c r="AM112" s="532"/>
      <c r="AN112" s="532"/>
      <c r="AO112" s="60"/>
      <c r="AV112" s="323"/>
    </row>
    <row r="113" spans="2:48" ht="24" customHeight="1" x14ac:dyDescent="0.2">
      <c r="B113" s="340" t="s">
        <v>5</v>
      </c>
      <c r="C113" s="492" t="s">
        <v>150</v>
      </c>
      <c r="D113" s="492"/>
      <c r="E113" s="492" t="s">
        <v>10</v>
      </c>
      <c r="F113" s="492"/>
      <c r="G113" s="493" t="s">
        <v>376</v>
      </c>
      <c r="H113" s="493"/>
      <c r="I113" s="493"/>
      <c r="J113" s="493"/>
      <c r="K113" s="493"/>
      <c r="L113" s="493"/>
      <c r="M113" s="493"/>
      <c r="N113" s="493"/>
      <c r="O113" s="493"/>
      <c r="P113" s="493"/>
      <c r="Q113" s="493"/>
      <c r="R113" s="493"/>
      <c r="S113" s="493"/>
      <c r="T113" s="494" t="s">
        <v>12</v>
      </c>
      <c r="U113" s="494"/>
      <c r="V113" s="487">
        <v>1263.22</v>
      </c>
      <c r="W113" s="487"/>
      <c r="X113" s="487"/>
      <c r="Y113" s="533">
        <v>1.55</v>
      </c>
      <c r="Z113" s="533"/>
      <c r="AA113" s="533"/>
      <c r="AB113" s="485">
        <f>V113*Y113</f>
        <v>1957.991</v>
      </c>
      <c r="AC113" s="485"/>
      <c r="AD113" s="485"/>
      <c r="AE113" s="485"/>
      <c r="AF113" s="486">
        <v>1.94</v>
      </c>
      <c r="AG113" s="486"/>
      <c r="AH113" s="486"/>
      <c r="AI113" s="485">
        <f>AF113*V113</f>
        <v>2450.6468</v>
      </c>
      <c r="AJ113" s="485"/>
      <c r="AK113" s="485"/>
      <c r="AL113" s="485"/>
      <c r="AM113" s="485"/>
      <c r="AN113" s="485"/>
      <c r="AO113" s="60"/>
      <c r="AV113" s="323"/>
    </row>
    <row r="114" spans="2:48" ht="24" customHeight="1" x14ac:dyDescent="0.2">
      <c r="B114" s="340" t="s">
        <v>291</v>
      </c>
      <c r="C114" s="492" t="s">
        <v>136</v>
      </c>
      <c r="D114" s="492"/>
      <c r="E114" s="492" t="s">
        <v>10</v>
      </c>
      <c r="F114" s="492"/>
      <c r="G114" s="493" t="s">
        <v>377</v>
      </c>
      <c r="H114" s="493"/>
      <c r="I114" s="493"/>
      <c r="J114" s="493"/>
      <c r="K114" s="493"/>
      <c r="L114" s="493"/>
      <c r="M114" s="493"/>
      <c r="N114" s="493"/>
      <c r="O114" s="493"/>
      <c r="P114" s="493"/>
      <c r="Q114" s="493"/>
      <c r="R114" s="493"/>
      <c r="S114" s="493"/>
      <c r="T114" s="494" t="s">
        <v>152</v>
      </c>
      <c r="U114" s="494"/>
      <c r="V114" s="534">
        <v>349.28</v>
      </c>
      <c r="W114" s="534"/>
      <c r="X114" s="534"/>
      <c r="Y114" s="533">
        <v>0.57999999999999996</v>
      </c>
      <c r="Z114" s="533"/>
      <c r="AA114" s="533"/>
      <c r="AB114" s="485">
        <f>V114*Y114</f>
        <v>202.58239999999998</v>
      </c>
      <c r="AC114" s="485"/>
      <c r="AD114" s="485"/>
      <c r="AE114" s="485"/>
      <c r="AF114" s="486">
        <v>0.73</v>
      </c>
      <c r="AG114" s="486"/>
      <c r="AH114" s="486"/>
      <c r="AI114" s="485">
        <f>AF114*V114</f>
        <v>254.97439999999997</v>
      </c>
      <c r="AJ114" s="485"/>
      <c r="AK114" s="485"/>
      <c r="AL114" s="485"/>
      <c r="AM114" s="485"/>
      <c r="AN114" s="485"/>
      <c r="AO114" s="60"/>
      <c r="AV114" s="323"/>
    </row>
    <row r="115" spans="2:48" ht="24" customHeight="1" x14ac:dyDescent="0.2">
      <c r="B115" s="340" t="s">
        <v>292</v>
      </c>
      <c r="C115" s="492" t="s">
        <v>294</v>
      </c>
      <c r="D115" s="492"/>
      <c r="E115" s="492" t="s">
        <v>10</v>
      </c>
      <c r="F115" s="492"/>
      <c r="G115" s="493" t="s">
        <v>378</v>
      </c>
      <c r="H115" s="493"/>
      <c r="I115" s="493"/>
      <c r="J115" s="493"/>
      <c r="K115" s="493"/>
      <c r="L115" s="493"/>
      <c r="M115" s="493"/>
      <c r="N115" s="493"/>
      <c r="O115" s="493"/>
      <c r="P115" s="493"/>
      <c r="Q115" s="493"/>
      <c r="R115" s="493"/>
      <c r="S115" s="493"/>
      <c r="T115" s="494" t="s">
        <v>53</v>
      </c>
      <c r="U115" s="494"/>
      <c r="V115" s="535">
        <v>37.9</v>
      </c>
      <c r="W115" s="535"/>
      <c r="X115" s="535"/>
      <c r="Y115" s="488">
        <v>865</v>
      </c>
      <c r="Z115" s="488"/>
      <c r="AA115" s="488"/>
      <c r="AB115" s="486">
        <f>IF(T115="","",ROUND(V115*Y115,2))</f>
        <v>32783.5</v>
      </c>
      <c r="AC115" s="486"/>
      <c r="AD115" s="486"/>
      <c r="AE115" s="486"/>
      <c r="AF115" s="486">
        <v>1082.1300000000001</v>
      </c>
      <c r="AG115" s="486"/>
      <c r="AH115" s="486"/>
      <c r="AI115" s="485">
        <f>AF115*V115</f>
        <v>41012.727000000006</v>
      </c>
      <c r="AJ115" s="485"/>
      <c r="AK115" s="485"/>
      <c r="AL115" s="485"/>
      <c r="AM115" s="485"/>
      <c r="AN115" s="485"/>
      <c r="AO115" s="60"/>
      <c r="AV115" s="323"/>
    </row>
    <row r="116" spans="2:48" ht="24" customHeight="1" x14ac:dyDescent="0.2">
      <c r="B116" s="340" t="s">
        <v>293</v>
      </c>
      <c r="C116" s="492" t="s">
        <v>136</v>
      </c>
      <c r="D116" s="492"/>
      <c r="E116" s="492" t="s">
        <v>10</v>
      </c>
      <c r="F116" s="492"/>
      <c r="G116" s="493" t="s">
        <v>379</v>
      </c>
      <c r="H116" s="493"/>
      <c r="I116" s="493"/>
      <c r="J116" s="493"/>
      <c r="K116" s="493"/>
      <c r="L116" s="493"/>
      <c r="M116" s="493"/>
      <c r="N116" s="493"/>
      <c r="O116" s="493"/>
      <c r="P116" s="493"/>
      <c r="Q116" s="493"/>
      <c r="R116" s="493"/>
      <c r="S116" s="493"/>
      <c r="T116" s="494" t="s">
        <v>152</v>
      </c>
      <c r="U116" s="494"/>
      <c r="V116" s="487">
        <v>11368.98</v>
      </c>
      <c r="W116" s="487"/>
      <c r="X116" s="487"/>
      <c r="Y116" s="533">
        <v>0.57999999999999996</v>
      </c>
      <c r="Z116" s="533"/>
      <c r="AA116" s="533"/>
      <c r="AB116" s="485">
        <f>IF(T116="","",ROUND(V116*Y116,2))</f>
        <v>6594.01</v>
      </c>
      <c r="AC116" s="485"/>
      <c r="AD116" s="485"/>
      <c r="AE116" s="485"/>
      <c r="AF116" s="485">
        <v>0.73</v>
      </c>
      <c r="AG116" s="485"/>
      <c r="AH116" s="485"/>
      <c r="AI116" s="485">
        <f>AF116*V116</f>
        <v>8299.3554000000004</v>
      </c>
      <c r="AJ116" s="485"/>
      <c r="AK116" s="485"/>
      <c r="AL116" s="485"/>
      <c r="AM116" s="485"/>
      <c r="AN116" s="485"/>
      <c r="AO116" s="60"/>
      <c r="AV116" s="323"/>
    </row>
    <row r="117" spans="2:48" ht="24" customHeight="1" x14ac:dyDescent="0.2">
      <c r="B117" s="340"/>
      <c r="C117" s="492"/>
      <c r="D117" s="492"/>
      <c r="E117" s="492"/>
      <c r="F117" s="492"/>
      <c r="G117" s="493"/>
      <c r="H117" s="493"/>
      <c r="I117" s="493"/>
      <c r="J117" s="493"/>
      <c r="K117" s="493"/>
      <c r="L117" s="493"/>
      <c r="M117" s="493"/>
      <c r="N117" s="493"/>
      <c r="O117" s="493"/>
      <c r="P117" s="493"/>
      <c r="Q117" s="493"/>
      <c r="R117" s="493"/>
      <c r="S117" s="493"/>
      <c r="T117" s="494"/>
      <c r="U117" s="494"/>
      <c r="V117" s="487"/>
      <c r="W117" s="487"/>
      <c r="X117" s="487"/>
      <c r="Y117" s="533"/>
      <c r="Z117" s="533"/>
      <c r="AA117" s="533"/>
      <c r="AB117" s="485"/>
      <c r="AC117" s="485"/>
      <c r="AD117" s="485"/>
      <c r="AE117" s="485"/>
      <c r="AF117" s="485"/>
      <c r="AG117" s="485"/>
      <c r="AH117" s="485"/>
      <c r="AI117" s="485"/>
      <c r="AJ117" s="485"/>
      <c r="AK117" s="485"/>
      <c r="AL117" s="485"/>
      <c r="AM117" s="485"/>
      <c r="AN117" s="485"/>
      <c r="AO117" s="60"/>
      <c r="AV117" s="323"/>
    </row>
    <row r="118" spans="2:48" ht="24" customHeight="1" x14ac:dyDescent="0.2">
      <c r="B118" s="339" t="s">
        <v>56</v>
      </c>
      <c r="C118" s="492"/>
      <c r="D118" s="492"/>
      <c r="E118" s="492"/>
      <c r="F118" s="492"/>
      <c r="G118" s="529" t="s">
        <v>55</v>
      </c>
      <c r="H118" s="529"/>
      <c r="I118" s="529"/>
      <c r="J118" s="529"/>
      <c r="K118" s="529"/>
      <c r="L118" s="529"/>
      <c r="M118" s="529"/>
      <c r="N118" s="529"/>
      <c r="O118" s="529"/>
      <c r="P118" s="529"/>
      <c r="Q118" s="529"/>
      <c r="R118" s="529"/>
      <c r="S118" s="529"/>
      <c r="T118" s="494"/>
      <c r="U118" s="494"/>
      <c r="V118" s="487"/>
      <c r="W118" s="487"/>
      <c r="X118" s="487"/>
      <c r="Y118" s="488"/>
      <c r="Z118" s="488"/>
      <c r="AA118" s="488"/>
      <c r="AB118" s="486" t="str">
        <f>IF(T118="","",ROUND(V118*Y118,2))</f>
        <v/>
      </c>
      <c r="AC118" s="486"/>
      <c r="AD118" s="486"/>
      <c r="AE118" s="486"/>
      <c r="AF118" s="486" t="str">
        <f t="shared" ref="AF118:AF120" si="15">IF(T118="","",ROUND(Y118*(1+$AJ$18),2))</f>
        <v/>
      </c>
      <c r="AG118" s="486"/>
      <c r="AH118" s="486"/>
      <c r="AI118" s="532">
        <f>AI119</f>
        <v>16329.3832</v>
      </c>
      <c r="AJ118" s="532"/>
      <c r="AK118" s="532"/>
      <c r="AL118" s="532"/>
      <c r="AM118" s="532"/>
      <c r="AN118" s="532"/>
      <c r="AO118" s="60"/>
      <c r="AV118" s="323"/>
    </row>
    <row r="119" spans="2:48" ht="24" customHeight="1" x14ac:dyDescent="0.2">
      <c r="B119" s="340" t="s">
        <v>252</v>
      </c>
      <c r="C119" s="492" t="s">
        <v>259</v>
      </c>
      <c r="D119" s="492"/>
      <c r="E119" s="492" t="s">
        <v>10</v>
      </c>
      <c r="F119" s="492"/>
      <c r="G119" s="493" t="s">
        <v>380</v>
      </c>
      <c r="H119" s="493"/>
      <c r="I119" s="493"/>
      <c r="J119" s="493"/>
      <c r="K119" s="493"/>
      <c r="L119" s="493"/>
      <c r="M119" s="493"/>
      <c r="N119" s="493"/>
      <c r="O119" s="493"/>
      <c r="P119" s="493"/>
      <c r="Q119" s="493"/>
      <c r="R119" s="493"/>
      <c r="S119" s="493"/>
      <c r="T119" s="494" t="s">
        <v>11</v>
      </c>
      <c r="U119" s="494"/>
      <c r="V119" s="487">
        <v>448.24</v>
      </c>
      <c r="W119" s="487"/>
      <c r="X119" s="487"/>
      <c r="Y119" s="488">
        <v>29.12</v>
      </c>
      <c r="Z119" s="488"/>
      <c r="AA119" s="488"/>
      <c r="AB119" s="485">
        <f>IF(T119="","",ROUND(V119*Y119,2))</f>
        <v>13052.75</v>
      </c>
      <c r="AC119" s="485"/>
      <c r="AD119" s="485"/>
      <c r="AE119" s="485"/>
      <c r="AF119" s="486">
        <v>36.43</v>
      </c>
      <c r="AG119" s="486"/>
      <c r="AH119" s="486"/>
      <c r="AI119" s="486">
        <f>V119*AF119</f>
        <v>16329.3832</v>
      </c>
      <c r="AJ119" s="486"/>
      <c r="AK119" s="486"/>
      <c r="AL119" s="486"/>
      <c r="AM119" s="486"/>
      <c r="AN119" s="486"/>
      <c r="AO119" s="60"/>
      <c r="AV119" s="323"/>
    </row>
    <row r="120" spans="2:48" ht="24" customHeight="1" x14ac:dyDescent="0.2">
      <c r="B120" s="342">
        <v>6</v>
      </c>
      <c r="C120" s="513"/>
      <c r="D120" s="514"/>
      <c r="E120" s="513"/>
      <c r="F120" s="514"/>
      <c r="G120" s="529" t="s">
        <v>68</v>
      </c>
      <c r="H120" s="529"/>
      <c r="I120" s="529"/>
      <c r="J120" s="529"/>
      <c r="K120" s="529"/>
      <c r="L120" s="529"/>
      <c r="M120" s="529"/>
      <c r="N120" s="529"/>
      <c r="O120" s="529"/>
      <c r="P120" s="529"/>
      <c r="Q120" s="529"/>
      <c r="R120" s="529"/>
      <c r="S120" s="529"/>
      <c r="T120" s="494"/>
      <c r="U120" s="494"/>
      <c r="V120" s="520"/>
      <c r="W120" s="521"/>
      <c r="X120" s="522"/>
      <c r="Y120" s="530"/>
      <c r="Z120" s="530"/>
      <c r="AA120" s="530"/>
      <c r="AB120" s="485"/>
      <c r="AC120" s="485"/>
      <c r="AD120" s="485"/>
      <c r="AE120" s="485"/>
      <c r="AF120" s="486" t="str">
        <f t="shared" si="15"/>
        <v/>
      </c>
      <c r="AG120" s="486"/>
      <c r="AH120" s="486"/>
      <c r="AI120" s="531">
        <f>SUM(AI121:AN124)</f>
        <v>19877.788900000003</v>
      </c>
      <c r="AJ120" s="507"/>
      <c r="AK120" s="507"/>
      <c r="AL120" s="507"/>
      <c r="AM120" s="507"/>
      <c r="AN120" s="507"/>
      <c r="AO120" s="60"/>
      <c r="AV120" s="323"/>
    </row>
    <row r="121" spans="2:48" ht="24" customHeight="1" x14ac:dyDescent="0.2">
      <c r="B121" s="341" t="s">
        <v>253</v>
      </c>
      <c r="C121" s="492" t="s">
        <v>325</v>
      </c>
      <c r="D121" s="492"/>
      <c r="E121" s="492" t="s">
        <v>10</v>
      </c>
      <c r="F121" s="492"/>
      <c r="G121" s="493" t="s">
        <v>381</v>
      </c>
      <c r="H121" s="493"/>
      <c r="I121" s="493"/>
      <c r="J121" s="493"/>
      <c r="K121" s="493"/>
      <c r="L121" s="493"/>
      <c r="M121" s="493"/>
      <c r="N121" s="493"/>
      <c r="O121" s="493"/>
      <c r="P121" s="493"/>
      <c r="Q121" s="493"/>
      <c r="R121" s="493"/>
      <c r="S121" s="493"/>
      <c r="T121" s="494" t="s">
        <v>53</v>
      </c>
      <c r="U121" s="494"/>
      <c r="V121" s="487">
        <v>32.270000000000003</v>
      </c>
      <c r="W121" s="487"/>
      <c r="X121" s="487"/>
      <c r="Y121" s="484">
        <v>462.88</v>
      </c>
      <c r="Z121" s="484"/>
      <c r="AA121" s="484"/>
      <c r="AB121" s="485">
        <f>V121*Y121</f>
        <v>14937.137600000002</v>
      </c>
      <c r="AC121" s="485"/>
      <c r="AD121" s="485"/>
      <c r="AE121" s="485"/>
      <c r="AF121" s="486">
        <v>579.07000000000005</v>
      </c>
      <c r="AG121" s="486"/>
      <c r="AH121" s="486"/>
      <c r="AI121" s="485">
        <f>V121*AF121</f>
        <v>18686.588900000002</v>
      </c>
      <c r="AJ121" s="485"/>
      <c r="AK121" s="485"/>
      <c r="AL121" s="485"/>
      <c r="AM121" s="485"/>
      <c r="AN121" s="485"/>
      <c r="AO121" s="60"/>
      <c r="AV121" s="323"/>
    </row>
    <row r="122" spans="2:48" ht="24" customHeight="1" x14ac:dyDescent="0.2">
      <c r="B122" s="438" t="s">
        <v>254</v>
      </c>
      <c r="C122" s="492" t="s">
        <v>243</v>
      </c>
      <c r="D122" s="492"/>
      <c r="E122" s="492" t="s">
        <v>10</v>
      </c>
      <c r="F122" s="492"/>
      <c r="G122" s="493" t="s">
        <v>437</v>
      </c>
      <c r="H122" s="493"/>
      <c r="I122" s="493"/>
      <c r="J122" s="493"/>
      <c r="K122" s="493"/>
      <c r="L122" s="493"/>
      <c r="M122" s="493"/>
      <c r="N122" s="493"/>
      <c r="O122" s="493"/>
      <c r="P122" s="493"/>
      <c r="Q122" s="493"/>
      <c r="R122" s="493"/>
      <c r="S122" s="493"/>
      <c r="T122" s="494" t="s">
        <v>12</v>
      </c>
      <c r="U122" s="494"/>
      <c r="V122" s="487">
        <v>34.799999999999997</v>
      </c>
      <c r="W122" s="487"/>
      <c r="X122" s="487"/>
      <c r="Y122" s="484">
        <f>Y89</f>
        <v>10.86</v>
      </c>
      <c r="Z122" s="484"/>
      <c r="AA122" s="484"/>
      <c r="AB122" s="485">
        <f>V122*Y122</f>
        <v>377.92799999999994</v>
      </c>
      <c r="AC122" s="485"/>
      <c r="AD122" s="485"/>
      <c r="AE122" s="485"/>
      <c r="AF122" s="486">
        <v>13.59</v>
      </c>
      <c r="AG122" s="486"/>
      <c r="AH122" s="486"/>
      <c r="AI122" s="485">
        <f>V122*AF122</f>
        <v>472.93199999999996</v>
      </c>
      <c r="AJ122" s="485"/>
      <c r="AK122" s="485"/>
      <c r="AL122" s="485"/>
      <c r="AM122" s="485"/>
      <c r="AN122" s="485"/>
      <c r="AO122" s="60"/>
      <c r="AV122" s="323"/>
    </row>
    <row r="123" spans="2:48" ht="24" customHeight="1" x14ac:dyDescent="0.2">
      <c r="B123" s="438" t="s">
        <v>423</v>
      </c>
      <c r="C123" s="492">
        <v>38135</v>
      </c>
      <c r="D123" s="492"/>
      <c r="E123" s="485" t="s">
        <v>318</v>
      </c>
      <c r="F123" s="485"/>
      <c r="G123" s="509" t="s">
        <v>438</v>
      </c>
      <c r="H123" s="510"/>
      <c r="I123" s="510"/>
      <c r="J123" s="510"/>
      <c r="K123" s="510"/>
      <c r="L123" s="510"/>
      <c r="M123" s="510"/>
      <c r="N123" s="510"/>
      <c r="O123" s="510"/>
      <c r="P123" s="510"/>
      <c r="Q123" s="510"/>
      <c r="R123" s="510"/>
      <c r="S123" s="511"/>
      <c r="T123" s="485" t="s">
        <v>12</v>
      </c>
      <c r="U123" s="485"/>
      <c r="V123" s="487">
        <v>15.8</v>
      </c>
      <c r="W123" s="487"/>
      <c r="X123" s="487"/>
      <c r="Y123" s="485">
        <f>Y90</f>
        <v>36.340000000000003</v>
      </c>
      <c r="Z123" s="485"/>
      <c r="AA123" s="485"/>
      <c r="AB123" s="485">
        <f>V123*Y123</f>
        <v>574.17200000000003</v>
      </c>
      <c r="AC123" s="485"/>
      <c r="AD123" s="485"/>
      <c r="AE123" s="485"/>
      <c r="AF123" s="486">
        <v>45.46</v>
      </c>
      <c r="AG123" s="486"/>
      <c r="AH123" s="486"/>
      <c r="AI123" s="485">
        <f>V123*AF123</f>
        <v>718.26800000000003</v>
      </c>
      <c r="AJ123" s="485"/>
      <c r="AK123" s="485"/>
      <c r="AL123" s="485"/>
      <c r="AM123" s="485"/>
      <c r="AN123" s="485"/>
      <c r="AO123" s="60"/>
      <c r="AV123" s="324"/>
    </row>
    <row r="124" spans="2:48" ht="24" customHeight="1" x14ac:dyDescent="0.2">
      <c r="B124" s="341"/>
      <c r="C124" s="492"/>
      <c r="D124" s="492"/>
      <c r="E124" s="492"/>
      <c r="F124" s="492"/>
      <c r="G124" s="493"/>
      <c r="H124" s="493"/>
      <c r="I124" s="493"/>
      <c r="J124" s="493"/>
      <c r="K124" s="493"/>
      <c r="L124" s="493"/>
      <c r="M124" s="493"/>
      <c r="N124" s="493"/>
      <c r="O124" s="493"/>
      <c r="P124" s="493"/>
      <c r="Q124" s="493"/>
      <c r="R124" s="493"/>
      <c r="S124" s="493"/>
      <c r="T124" s="494"/>
      <c r="U124" s="494"/>
      <c r="V124" s="487"/>
      <c r="W124" s="487"/>
      <c r="X124" s="487"/>
      <c r="Y124" s="484"/>
      <c r="Z124" s="484"/>
      <c r="AA124" s="484"/>
      <c r="AB124" s="485"/>
      <c r="AC124" s="485"/>
      <c r="AD124" s="485"/>
      <c r="AE124" s="485"/>
      <c r="AF124" s="486"/>
      <c r="AG124" s="486"/>
      <c r="AH124" s="486"/>
      <c r="AI124" s="485"/>
      <c r="AJ124" s="485"/>
      <c r="AK124" s="485"/>
      <c r="AL124" s="485"/>
      <c r="AM124" s="485"/>
      <c r="AN124" s="485"/>
      <c r="AO124" s="60"/>
      <c r="AV124" s="324"/>
    </row>
    <row r="125" spans="2:48" ht="24" customHeight="1" x14ac:dyDescent="0.2">
      <c r="B125" s="344" t="s">
        <v>134</v>
      </c>
      <c r="C125" s="485"/>
      <c r="D125" s="485"/>
      <c r="E125" s="485"/>
      <c r="F125" s="485"/>
      <c r="G125" s="495" t="s">
        <v>131</v>
      </c>
      <c r="H125" s="496"/>
      <c r="I125" s="496"/>
      <c r="J125" s="496"/>
      <c r="K125" s="496"/>
      <c r="L125" s="496"/>
      <c r="M125" s="496"/>
      <c r="N125" s="496"/>
      <c r="O125" s="496"/>
      <c r="P125" s="496"/>
      <c r="Q125" s="496"/>
      <c r="R125" s="496"/>
      <c r="S125" s="497"/>
      <c r="T125" s="485"/>
      <c r="U125" s="485"/>
      <c r="V125" s="485"/>
      <c r="W125" s="485"/>
      <c r="X125" s="485"/>
      <c r="Y125" s="485"/>
      <c r="Z125" s="485"/>
      <c r="AA125" s="485"/>
      <c r="AB125" s="485"/>
      <c r="AC125" s="485"/>
      <c r="AD125" s="485"/>
      <c r="AE125" s="485"/>
      <c r="AF125" s="486"/>
      <c r="AG125" s="486"/>
      <c r="AH125" s="486"/>
      <c r="AI125" s="507">
        <f>SUM(AI126:AI130)</f>
        <v>2371.2905000000001</v>
      </c>
      <c r="AJ125" s="507"/>
      <c r="AK125" s="507"/>
      <c r="AL125" s="507"/>
      <c r="AM125" s="507"/>
      <c r="AN125" s="507"/>
      <c r="AO125" s="60"/>
      <c r="AV125" s="323"/>
    </row>
    <row r="126" spans="2:48" ht="24" customHeight="1" x14ac:dyDescent="0.2">
      <c r="B126" s="343" t="s">
        <v>255</v>
      </c>
      <c r="C126" s="508">
        <v>72947</v>
      </c>
      <c r="D126" s="508"/>
      <c r="E126" s="485" t="s">
        <v>10</v>
      </c>
      <c r="F126" s="485"/>
      <c r="G126" s="509" t="s">
        <v>382</v>
      </c>
      <c r="H126" s="510"/>
      <c r="I126" s="510"/>
      <c r="J126" s="510"/>
      <c r="K126" s="510"/>
      <c r="L126" s="510"/>
      <c r="M126" s="510"/>
      <c r="N126" s="510"/>
      <c r="O126" s="510"/>
      <c r="P126" s="510"/>
      <c r="Q126" s="510"/>
      <c r="R126" s="510"/>
      <c r="S126" s="511"/>
      <c r="T126" s="485" t="s">
        <v>89</v>
      </c>
      <c r="U126" s="485"/>
      <c r="V126" s="512">
        <v>37.85</v>
      </c>
      <c r="W126" s="508"/>
      <c r="X126" s="508"/>
      <c r="Y126" s="485">
        <v>20.73</v>
      </c>
      <c r="Z126" s="485"/>
      <c r="AA126" s="485"/>
      <c r="AB126" s="485">
        <f>V126*Y126</f>
        <v>784.6305000000001</v>
      </c>
      <c r="AC126" s="485"/>
      <c r="AD126" s="485"/>
      <c r="AE126" s="485"/>
      <c r="AF126" s="486">
        <v>25.93</v>
      </c>
      <c r="AG126" s="486"/>
      <c r="AH126" s="486"/>
      <c r="AI126" s="485">
        <f>V126*AF126</f>
        <v>981.45050000000003</v>
      </c>
      <c r="AJ126" s="485"/>
      <c r="AK126" s="485"/>
      <c r="AL126" s="485"/>
      <c r="AM126" s="485"/>
      <c r="AN126" s="485"/>
      <c r="AO126" s="60"/>
      <c r="AV126" s="323"/>
    </row>
    <row r="127" spans="2:48" ht="24" customHeight="1" x14ac:dyDescent="0.2">
      <c r="B127" s="340" t="s">
        <v>256</v>
      </c>
      <c r="C127" s="492" t="s">
        <v>180</v>
      </c>
      <c r="D127" s="492"/>
      <c r="E127" s="492" t="s">
        <v>146</v>
      </c>
      <c r="F127" s="492"/>
      <c r="G127" s="493" t="s">
        <v>383</v>
      </c>
      <c r="H127" s="493"/>
      <c r="I127" s="493"/>
      <c r="J127" s="493"/>
      <c r="K127" s="493"/>
      <c r="L127" s="493"/>
      <c r="M127" s="493"/>
      <c r="N127" s="493"/>
      <c r="O127" s="493"/>
      <c r="P127" s="493"/>
      <c r="Q127" s="493"/>
      <c r="R127" s="493"/>
      <c r="S127" s="493"/>
      <c r="T127" s="494" t="s">
        <v>89</v>
      </c>
      <c r="U127" s="494"/>
      <c r="V127" s="487">
        <v>1.2</v>
      </c>
      <c r="W127" s="487"/>
      <c r="X127" s="487"/>
      <c r="Y127" s="488">
        <f>Y93</f>
        <v>307.91000000000003</v>
      </c>
      <c r="Z127" s="488"/>
      <c r="AA127" s="488"/>
      <c r="AB127" s="486">
        <f>IF(T127="","",ROUND(V127*Y127,2))</f>
        <v>369.49</v>
      </c>
      <c r="AC127" s="486"/>
      <c r="AD127" s="486"/>
      <c r="AE127" s="486"/>
      <c r="AF127" s="485">
        <v>385.2</v>
      </c>
      <c r="AG127" s="485"/>
      <c r="AH127" s="485"/>
      <c r="AI127" s="485">
        <f>V127*AF127</f>
        <v>462.23999999999995</v>
      </c>
      <c r="AJ127" s="485"/>
      <c r="AK127" s="485"/>
      <c r="AL127" s="485"/>
      <c r="AM127" s="485"/>
      <c r="AN127" s="485"/>
      <c r="AO127" s="60"/>
      <c r="AV127" s="323"/>
    </row>
    <row r="128" spans="2:48" ht="24" customHeight="1" x14ac:dyDescent="0.2">
      <c r="B128" s="340" t="s">
        <v>135</v>
      </c>
      <c r="C128" s="492" t="s">
        <v>179</v>
      </c>
      <c r="D128" s="492"/>
      <c r="E128" s="492" t="s">
        <v>146</v>
      </c>
      <c r="F128" s="492"/>
      <c r="G128" s="493" t="s">
        <v>388</v>
      </c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4" t="s">
        <v>133</v>
      </c>
      <c r="U128" s="494"/>
      <c r="V128" s="487">
        <v>4</v>
      </c>
      <c r="W128" s="487"/>
      <c r="X128" s="487"/>
      <c r="Y128" s="488">
        <f>Y94</f>
        <v>91.53</v>
      </c>
      <c r="Z128" s="488"/>
      <c r="AA128" s="488"/>
      <c r="AB128" s="486">
        <f>IF(T128="","",ROUND(V128*Y128,2))</f>
        <v>366.12</v>
      </c>
      <c r="AC128" s="486"/>
      <c r="AD128" s="486"/>
      <c r="AE128" s="486"/>
      <c r="AF128" s="485">
        <v>114.51</v>
      </c>
      <c r="AG128" s="485"/>
      <c r="AH128" s="485"/>
      <c r="AI128" s="485">
        <f>V128*AF128</f>
        <v>458.04</v>
      </c>
      <c r="AJ128" s="485"/>
      <c r="AK128" s="485"/>
      <c r="AL128" s="485"/>
      <c r="AM128" s="485"/>
      <c r="AN128" s="485"/>
      <c r="AO128" s="60"/>
      <c r="AV128" s="323"/>
    </row>
    <row r="129" spans="2:48" ht="24" customHeight="1" x14ac:dyDescent="0.2">
      <c r="B129" s="340" t="s">
        <v>257</v>
      </c>
      <c r="C129" s="492" t="s">
        <v>132</v>
      </c>
      <c r="D129" s="492"/>
      <c r="E129" s="492" t="s">
        <v>10</v>
      </c>
      <c r="F129" s="492"/>
      <c r="G129" s="493" t="s">
        <v>387</v>
      </c>
      <c r="H129" s="493"/>
      <c r="I129" s="493"/>
      <c r="J129" s="493"/>
      <c r="K129" s="493"/>
      <c r="L129" s="493"/>
      <c r="M129" s="493"/>
      <c r="N129" s="493"/>
      <c r="O129" s="493"/>
      <c r="P129" s="493"/>
      <c r="Q129" s="493"/>
      <c r="R129" s="493"/>
      <c r="S129" s="493"/>
      <c r="T129" s="494" t="s">
        <v>133</v>
      </c>
      <c r="U129" s="494"/>
      <c r="V129" s="487">
        <v>2</v>
      </c>
      <c r="W129" s="487"/>
      <c r="X129" s="487"/>
      <c r="Y129" s="488">
        <v>96.14</v>
      </c>
      <c r="Z129" s="488"/>
      <c r="AA129" s="488"/>
      <c r="AB129" s="486">
        <f>IF(T129="","",ROUND(V129*Y129,2))</f>
        <v>192.28</v>
      </c>
      <c r="AC129" s="486"/>
      <c r="AD129" s="486"/>
      <c r="AE129" s="486"/>
      <c r="AF129" s="485">
        <v>120.27</v>
      </c>
      <c r="AG129" s="485"/>
      <c r="AH129" s="485"/>
      <c r="AI129" s="485">
        <f>V129*AF129</f>
        <v>240.54</v>
      </c>
      <c r="AJ129" s="485"/>
      <c r="AK129" s="485"/>
      <c r="AL129" s="485"/>
      <c r="AM129" s="485"/>
      <c r="AN129" s="485"/>
      <c r="AO129" s="60"/>
      <c r="AV129" s="323"/>
    </row>
    <row r="130" spans="2:48" ht="24" customHeight="1" x14ac:dyDescent="0.2">
      <c r="B130" s="340" t="s">
        <v>258</v>
      </c>
      <c r="C130" s="492" t="s">
        <v>151</v>
      </c>
      <c r="D130" s="492"/>
      <c r="E130" s="492" t="s">
        <v>146</v>
      </c>
      <c r="F130" s="492"/>
      <c r="G130" s="493" t="s">
        <v>384</v>
      </c>
      <c r="H130" s="493"/>
      <c r="I130" s="493"/>
      <c r="J130" s="493"/>
      <c r="K130" s="493"/>
      <c r="L130" s="493"/>
      <c r="M130" s="493"/>
      <c r="N130" s="493"/>
      <c r="O130" s="493"/>
      <c r="P130" s="493"/>
      <c r="Q130" s="493"/>
      <c r="R130" s="493"/>
      <c r="S130" s="493"/>
      <c r="T130" s="494" t="s">
        <v>133</v>
      </c>
      <c r="U130" s="494"/>
      <c r="V130" s="487">
        <v>2</v>
      </c>
      <c r="W130" s="487"/>
      <c r="X130" s="487"/>
      <c r="Y130" s="488">
        <f>Y128</f>
        <v>91.53</v>
      </c>
      <c r="Z130" s="488"/>
      <c r="AA130" s="488"/>
      <c r="AB130" s="486">
        <f>IF(T130="","",ROUND(V130*Y130,2))</f>
        <v>183.06</v>
      </c>
      <c r="AC130" s="486"/>
      <c r="AD130" s="486"/>
      <c r="AE130" s="486"/>
      <c r="AF130" s="485">
        <v>114.51</v>
      </c>
      <c r="AG130" s="485"/>
      <c r="AH130" s="485"/>
      <c r="AI130" s="485">
        <f>V130*AF130</f>
        <v>229.02</v>
      </c>
      <c r="AJ130" s="485"/>
      <c r="AK130" s="485"/>
      <c r="AL130" s="485"/>
      <c r="AM130" s="485"/>
      <c r="AN130" s="485"/>
      <c r="AO130" s="60"/>
      <c r="AV130" s="323"/>
    </row>
    <row r="131" spans="2:48" ht="24" customHeight="1" x14ac:dyDescent="0.2">
      <c r="B131" s="340"/>
      <c r="C131" s="492"/>
      <c r="D131" s="492"/>
      <c r="E131" s="492"/>
      <c r="F131" s="492"/>
      <c r="G131" s="493"/>
      <c r="H131" s="493"/>
      <c r="I131" s="493"/>
      <c r="J131" s="493"/>
      <c r="K131" s="493"/>
      <c r="L131" s="493"/>
      <c r="M131" s="493"/>
      <c r="N131" s="493"/>
      <c r="O131" s="493"/>
      <c r="P131" s="493"/>
      <c r="Q131" s="493"/>
      <c r="R131" s="493"/>
      <c r="S131" s="493"/>
      <c r="T131" s="494"/>
      <c r="U131" s="494"/>
      <c r="V131" s="487"/>
      <c r="W131" s="487"/>
      <c r="X131" s="487"/>
      <c r="Y131" s="488"/>
      <c r="Z131" s="488"/>
      <c r="AA131" s="488"/>
      <c r="AB131" s="486"/>
      <c r="AC131" s="486"/>
      <c r="AD131" s="486"/>
      <c r="AE131" s="486"/>
      <c r="AF131" s="485"/>
      <c r="AG131" s="485"/>
      <c r="AH131" s="485"/>
      <c r="AI131" s="486"/>
      <c r="AJ131" s="486"/>
      <c r="AK131" s="486"/>
      <c r="AL131" s="486"/>
      <c r="AM131" s="486"/>
      <c r="AN131" s="486"/>
      <c r="AO131" s="60"/>
      <c r="AV131" s="323"/>
    </row>
    <row r="132" spans="2:48" ht="24" customHeight="1" x14ac:dyDescent="0.25">
      <c r="B132" s="340"/>
      <c r="C132" s="492"/>
      <c r="D132" s="492"/>
      <c r="E132" s="492"/>
      <c r="F132" s="492"/>
      <c r="G132" s="551" t="str">
        <f>'MEMÓRIA DE CÁLCULO'!B22</f>
        <v>RUA DONA MESSIAS</v>
      </c>
      <c r="H132" s="552"/>
      <c r="I132" s="552"/>
      <c r="J132" s="552"/>
      <c r="K132" s="552"/>
      <c r="L132" s="552"/>
      <c r="M132" s="552"/>
      <c r="N132" s="552"/>
      <c r="O132" s="552"/>
      <c r="P132" s="552"/>
      <c r="Q132" s="552"/>
      <c r="R132" s="552"/>
      <c r="S132" s="552"/>
      <c r="T132" s="494"/>
      <c r="U132" s="494"/>
      <c r="V132" s="487"/>
      <c r="W132" s="487"/>
      <c r="X132" s="487"/>
      <c r="Y132" s="488"/>
      <c r="Z132" s="488"/>
      <c r="AA132" s="488"/>
      <c r="AB132" s="486"/>
      <c r="AC132" s="486"/>
      <c r="AD132" s="486"/>
      <c r="AE132" s="486"/>
      <c r="AF132" s="486"/>
      <c r="AG132" s="486"/>
      <c r="AH132" s="486"/>
      <c r="AI132" s="553">
        <f>AI133+AI135+AI142+AI146+AI152+AI154+AI158</f>
        <v>82300.23689</v>
      </c>
      <c r="AJ132" s="553"/>
      <c r="AK132" s="553"/>
      <c r="AL132" s="553"/>
      <c r="AM132" s="553"/>
      <c r="AN132" s="553"/>
      <c r="AO132" s="60">
        <f>AI132</f>
        <v>82300.23689</v>
      </c>
      <c r="AV132" s="323"/>
    </row>
    <row r="133" spans="2:48" ht="24" customHeight="1" x14ac:dyDescent="0.2">
      <c r="B133" s="340"/>
      <c r="C133" s="492"/>
      <c r="D133" s="492"/>
      <c r="E133" s="492"/>
      <c r="F133" s="492"/>
      <c r="G133" s="529" t="s">
        <v>287</v>
      </c>
      <c r="H133" s="554"/>
      <c r="I133" s="554"/>
      <c r="J133" s="554"/>
      <c r="K133" s="554"/>
      <c r="L133" s="554"/>
      <c r="M133" s="554"/>
      <c r="N133" s="554"/>
      <c r="O133" s="554"/>
      <c r="P133" s="554"/>
      <c r="Q133" s="554"/>
      <c r="R133" s="554"/>
      <c r="S133" s="554"/>
      <c r="T133" s="494"/>
      <c r="U133" s="494"/>
      <c r="V133" s="487"/>
      <c r="W133" s="487"/>
      <c r="X133" s="487"/>
      <c r="Y133" s="488"/>
      <c r="Z133" s="488"/>
      <c r="AA133" s="488"/>
      <c r="AB133" s="486"/>
      <c r="AC133" s="486"/>
      <c r="AD133" s="486"/>
      <c r="AE133" s="486"/>
      <c r="AF133" s="486"/>
      <c r="AG133" s="486"/>
      <c r="AH133" s="486"/>
      <c r="AI133" s="532">
        <f>AI134</f>
        <v>385.95759999999996</v>
      </c>
      <c r="AJ133" s="532"/>
      <c r="AK133" s="532"/>
      <c r="AL133" s="532"/>
      <c r="AM133" s="532"/>
      <c r="AN133" s="532"/>
      <c r="AO133" s="60"/>
      <c r="AV133" s="323"/>
    </row>
    <row r="134" spans="2:48" ht="24" customHeight="1" x14ac:dyDescent="0.2">
      <c r="B134" s="444" t="s">
        <v>245</v>
      </c>
      <c r="C134" s="545" t="s">
        <v>69</v>
      </c>
      <c r="D134" s="545"/>
      <c r="E134" s="545" t="s">
        <v>10</v>
      </c>
      <c r="F134" s="545"/>
      <c r="G134" s="546" t="s">
        <v>368</v>
      </c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7" t="s">
        <v>12</v>
      </c>
      <c r="U134" s="547"/>
      <c r="V134" s="548">
        <v>941.36</v>
      </c>
      <c r="W134" s="548"/>
      <c r="X134" s="548"/>
      <c r="Y134" s="549">
        <v>0.33</v>
      </c>
      <c r="Z134" s="549"/>
      <c r="AA134" s="549"/>
      <c r="AB134" s="550">
        <f t="shared" ref="AB134:AB144" si="16">IF(T134="","",ROUND(V134*Y134,2))</f>
        <v>310.64999999999998</v>
      </c>
      <c r="AC134" s="550"/>
      <c r="AD134" s="550"/>
      <c r="AE134" s="550"/>
      <c r="AF134" s="550">
        <v>0.41</v>
      </c>
      <c r="AG134" s="550"/>
      <c r="AH134" s="550"/>
      <c r="AI134" s="550">
        <f>V134*AF134</f>
        <v>385.95759999999996</v>
      </c>
      <c r="AJ134" s="550"/>
      <c r="AK134" s="550"/>
      <c r="AL134" s="550"/>
      <c r="AM134" s="550"/>
      <c r="AN134" s="550"/>
      <c r="AO134" s="60"/>
      <c r="AV134" s="323"/>
    </row>
    <row r="135" spans="2:48" ht="24" customHeight="1" x14ac:dyDescent="0.2">
      <c r="B135" s="340">
        <v>2</v>
      </c>
      <c r="C135" s="492"/>
      <c r="D135" s="492"/>
      <c r="E135" s="492"/>
      <c r="F135" s="492"/>
      <c r="G135" s="529" t="s">
        <v>244</v>
      </c>
      <c r="H135" s="529"/>
      <c r="I135" s="529"/>
      <c r="J135" s="529"/>
      <c r="K135" s="529"/>
      <c r="L135" s="529"/>
      <c r="M135" s="529"/>
      <c r="N135" s="529"/>
      <c r="O135" s="529"/>
      <c r="P135" s="529"/>
      <c r="Q135" s="529"/>
      <c r="R135" s="529"/>
      <c r="S135" s="529"/>
      <c r="T135" s="494"/>
      <c r="U135" s="494"/>
      <c r="V135" s="487"/>
      <c r="W135" s="487"/>
      <c r="X135" s="487"/>
      <c r="Y135" s="488"/>
      <c r="Z135" s="488"/>
      <c r="AA135" s="488"/>
      <c r="AB135" s="486" t="str">
        <f t="shared" si="16"/>
        <v/>
      </c>
      <c r="AC135" s="486"/>
      <c r="AD135" s="486"/>
      <c r="AE135" s="486"/>
      <c r="AF135" s="486" t="str">
        <f t="shared" ref="AF135" si="17">IF(T135="","",ROUND(Y135*(1+$AJ$18),2))</f>
        <v/>
      </c>
      <c r="AG135" s="486"/>
      <c r="AH135" s="486"/>
      <c r="AI135" s="532">
        <f>SUM(AI136:AI141)</f>
        <v>7082.6756000000005</v>
      </c>
      <c r="AJ135" s="532"/>
      <c r="AK135" s="532"/>
      <c r="AL135" s="532"/>
      <c r="AM135" s="532"/>
      <c r="AN135" s="532"/>
      <c r="AO135" s="60"/>
      <c r="AV135" s="323"/>
    </row>
    <row r="136" spans="2:48" ht="24" customHeight="1" x14ac:dyDescent="0.2">
      <c r="B136" s="340" t="s">
        <v>246</v>
      </c>
      <c r="C136" s="492" t="s">
        <v>14</v>
      </c>
      <c r="D136" s="492"/>
      <c r="E136" s="492" t="s">
        <v>10</v>
      </c>
      <c r="F136" s="492"/>
      <c r="G136" s="493" t="s">
        <v>369</v>
      </c>
      <c r="H136" s="493"/>
      <c r="I136" s="493"/>
      <c r="J136" s="493"/>
      <c r="K136" s="493"/>
      <c r="L136" s="493"/>
      <c r="M136" s="493"/>
      <c r="N136" s="493"/>
      <c r="O136" s="493"/>
      <c r="P136" s="493"/>
      <c r="Q136" s="493"/>
      <c r="R136" s="493"/>
      <c r="S136" s="493"/>
      <c r="T136" s="494" t="s">
        <v>53</v>
      </c>
      <c r="U136" s="494"/>
      <c r="V136" s="487">
        <v>141.19999999999999</v>
      </c>
      <c r="W136" s="487"/>
      <c r="X136" s="487"/>
      <c r="Y136" s="488">
        <v>4.4400000000000004</v>
      </c>
      <c r="Z136" s="488"/>
      <c r="AA136" s="488"/>
      <c r="AB136" s="486">
        <f t="shared" si="16"/>
        <v>626.92999999999995</v>
      </c>
      <c r="AC136" s="486"/>
      <c r="AD136" s="486"/>
      <c r="AE136" s="486"/>
      <c r="AF136" s="486">
        <v>5.55</v>
      </c>
      <c r="AG136" s="486"/>
      <c r="AH136" s="486"/>
      <c r="AI136" s="486">
        <f t="shared" ref="AI136:AI141" si="18">AF136*V136</f>
        <v>783.66</v>
      </c>
      <c r="AJ136" s="486"/>
      <c r="AK136" s="486"/>
      <c r="AL136" s="486"/>
      <c r="AM136" s="486"/>
      <c r="AN136" s="486"/>
      <c r="AO136" s="60"/>
      <c r="AV136" s="323"/>
    </row>
    <row r="137" spans="2:48" ht="24" customHeight="1" x14ac:dyDescent="0.2">
      <c r="B137" s="340" t="s">
        <v>266</v>
      </c>
      <c r="C137" s="492" t="s">
        <v>367</v>
      </c>
      <c r="D137" s="492"/>
      <c r="E137" s="492" t="s">
        <v>10</v>
      </c>
      <c r="F137" s="492"/>
      <c r="G137" s="493" t="s">
        <v>370</v>
      </c>
      <c r="H137" s="493"/>
      <c r="I137" s="493"/>
      <c r="J137" s="493"/>
      <c r="K137" s="493"/>
      <c r="L137" s="493"/>
      <c r="M137" s="493"/>
      <c r="N137" s="493"/>
      <c r="O137" s="493"/>
      <c r="P137" s="493"/>
      <c r="Q137" s="493"/>
      <c r="R137" s="493"/>
      <c r="S137" s="493"/>
      <c r="T137" s="494" t="s">
        <v>63</v>
      </c>
      <c r="U137" s="494"/>
      <c r="V137" s="487">
        <v>141.19999999999999</v>
      </c>
      <c r="W137" s="487"/>
      <c r="X137" s="487"/>
      <c r="Y137" s="488">
        <v>1.31</v>
      </c>
      <c r="Z137" s="488"/>
      <c r="AA137" s="488"/>
      <c r="AB137" s="542">
        <f t="shared" si="16"/>
        <v>184.97</v>
      </c>
      <c r="AC137" s="543"/>
      <c r="AD137" s="543"/>
      <c r="AE137" s="544"/>
      <c r="AF137" s="486">
        <v>1.64</v>
      </c>
      <c r="AG137" s="486"/>
      <c r="AH137" s="486"/>
      <c r="AI137" s="486">
        <f t="shared" si="18"/>
        <v>231.56799999999996</v>
      </c>
      <c r="AJ137" s="486"/>
      <c r="AK137" s="486"/>
      <c r="AL137" s="486"/>
      <c r="AM137" s="486"/>
      <c r="AN137" s="486"/>
      <c r="AO137" s="60"/>
      <c r="AV137" s="323"/>
    </row>
    <row r="138" spans="2:48" ht="24" customHeight="1" x14ac:dyDescent="0.2">
      <c r="B138" s="341" t="s">
        <v>247</v>
      </c>
      <c r="C138" s="492" t="s">
        <v>62</v>
      </c>
      <c r="D138" s="492"/>
      <c r="E138" s="492" t="s">
        <v>10</v>
      </c>
      <c r="F138" s="492"/>
      <c r="G138" s="493" t="s">
        <v>371</v>
      </c>
      <c r="H138" s="493"/>
      <c r="I138" s="493"/>
      <c r="J138" s="493"/>
      <c r="K138" s="493"/>
      <c r="L138" s="493"/>
      <c r="M138" s="493"/>
      <c r="N138" s="493"/>
      <c r="O138" s="493"/>
      <c r="P138" s="493"/>
      <c r="Q138" s="493"/>
      <c r="R138" s="493"/>
      <c r="S138" s="493"/>
      <c r="T138" s="494" t="s">
        <v>12</v>
      </c>
      <c r="U138" s="494"/>
      <c r="V138" s="487">
        <v>941.36</v>
      </c>
      <c r="W138" s="487"/>
      <c r="X138" s="487"/>
      <c r="Y138" s="488">
        <v>1.2</v>
      </c>
      <c r="Z138" s="488"/>
      <c r="AA138" s="488"/>
      <c r="AB138" s="486">
        <f t="shared" si="16"/>
        <v>1129.6300000000001</v>
      </c>
      <c r="AC138" s="486"/>
      <c r="AD138" s="486"/>
      <c r="AE138" s="486"/>
      <c r="AF138" s="486">
        <v>1.5</v>
      </c>
      <c r="AG138" s="486"/>
      <c r="AH138" s="486"/>
      <c r="AI138" s="486">
        <f t="shared" si="18"/>
        <v>1412.04</v>
      </c>
      <c r="AJ138" s="486"/>
      <c r="AK138" s="486"/>
      <c r="AL138" s="486"/>
      <c r="AM138" s="486"/>
      <c r="AN138" s="486"/>
      <c r="AO138" s="60"/>
      <c r="AV138" s="323"/>
    </row>
    <row r="139" spans="2:48" ht="24" customHeight="1" x14ac:dyDescent="0.2">
      <c r="B139" s="341" t="s">
        <v>248</v>
      </c>
      <c r="C139" s="492" t="s">
        <v>316</v>
      </c>
      <c r="D139" s="492"/>
      <c r="E139" s="492" t="s">
        <v>10</v>
      </c>
      <c r="F139" s="492"/>
      <c r="G139" s="493" t="s">
        <v>372</v>
      </c>
      <c r="H139" s="493"/>
      <c r="I139" s="493"/>
      <c r="J139" s="493"/>
      <c r="K139" s="493"/>
      <c r="L139" s="493"/>
      <c r="M139" s="493"/>
      <c r="N139" s="493"/>
      <c r="O139" s="493"/>
      <c r="P139" s="493"/>
      <c r="Q139" s="493"/>
      <c r="R139" s="493"/>
      <c r="S139" s="493"/>
      <c r="T139" s="494" t="s">
        <v>53</v>
      </c>
      <c r="U139" s="494"/>
      <c r="V139" s="487">
        <v>141.19999999999999</v>
      </c>
      <c r="W139" s="487"/>
      <c r="X139" s="487"/>
      <c r="Y139" s="533">
        <v>5.9</v>
      </c>
      <c r="Z139" s="533"/>
      <c r="AA139" s="533"/>
      <c r="AB139" s="485">
        <f t="shared" si="16"/>
        <v>833.08</v>
      </c>
      <c r="AC139" s="485"/>
      <c r="AD139" s="485"/>
      <c r="AE139" s="485"/>
      <c r="AF139" s="485">
        <v>7.38</v>
      </c>
      <c r="AG139" s="485"/>
      <c r="AH139" s="485"/>
      <c r="AI139" s="486">
        <f t="shared" si="18"/>
        <v>1042.0559999999998</v>
      </c>
      <c r="AJ139" s="486"/>
      <c r="AK139" s="486"/>
      <c r="AL139" s="486"/>
      <c r="AM139" s="486"/>
      <c r="AN139" s="486"/>
      <c r="AO139" s="60"/>
      <c r="AV139" s="323"/>
    </row>
    <row r="140" spans="2:48" ht="24" customHeight="1" x14ac:dyDescent="0.2">
      <c r="B140" s="341" t="s">
        <v>249</v>
      </c>
      <c r="C140" s="492" t="s">
        <v>323</v>
      </c>
      <c r="D140" s="492"/>
      <c r="E140" s="492" t="s">
        <v>10</v>
      </c>
      <c r="F140" s="492"/>
      <c r="G140" s="540" t="s">
        <v>373</v>
      </c>
      <c r="H140" s="540"/>
      <c r="I140" s="540"/>
      <c r="J140" s="540"/>
      <c r="K140" s="540"/>
      <c r="L140" s="540"/>
      <c r="M140" s="540"/>
      <c r="N140" s="540"/>
      <c r="O140" s="540"/>
      <c r="P140" s="540"/>
      <c r="Q140" s="540"/>
      <c r="R140" s="540"/>
      <c r="S140" s="540"/>
      <c r="T140" s="494" t="s">
        <v>152</v>
      </c>
      <c r="U140" s="494"/>
      <c r="V140" s="487">
        <v>1694.44</v>
      </c>
      <c r="W140" s="487"/>
      <c r="X140" s="487"/>
      <c r="Y140" s="533">
        <v>0.87</v>
      </c>
      <c r="Z140" s="533"/>
      <c r="AA140" s="533"/>
      <c r="AB140" s="485">
        <f t="shared" si="16"/>
        <v>1474.16</v>
      </c>
      <c r="AC140" s="485"/>
      <c r="AD140" s="485"/>
      <c r="AE140" s="485"/>
      <c r="AF140" s="485">
        <v>1.0900000000000001</v>
      </c>
      <c r="AG140" s="485"/>
      <c r="AH140" s="485"/>
      <c r="AI140" s="486">
        <f t="shared" si="18"/>
        <v>1846.9396000000002</v>
      </c>
      <c r="AJ140" s="486"/>
      <c r="AK140" s="486"/>
      <c r="AL140" s="486"/>
      <c r="AM140" s="486"/>
      <c r="AN140" s="486"/>
      <c r="AO140" s="60"/>
      <c r="AV140" s="323"/>
    </row>
    <row r="141" spans="2:48" ht="24" customHeight="1" x14ac:dyDescent="0.2">
      <c r="B141" s="341" t="s">
        <v>250</v>
      </c>
      <c r="C141" s="492" t="s">
        <v>229</v>
      </c>
      <c r="D141" s="492"/>
      <c r="E141" s="541" t="s">
        <v>385</v>
      </c>
      <c r="F141" s="541"/>
      <c r="G141" s="493" t="s">
        <v>374</v>
      </c>
      <c r="H141" s="493"/>
      <c r="I141" s="493"/>
      <c r="J141" s="493"/>
      <c r="K141" s="493"/>
      <c r="L141" s="493"/>
      <c r="M141" s="493"/>
      <c r="N141" s="493"/>
      <c r="O141" s="493"/>
      <c r="P141" s="493"/>
      <c r="Q141" s="493"/>
      <c r="R141" s="493"/>
      <c r="S141" s="493"/>
      <c r="T141" s="494" t="s">
        <v>53</v>
      </c>
      <c r="U141" s="494"/>
      <c r="V141" s="487">
        <v>141.19999999999999</v>
      </c>
      <c r="W141" s="487"/>
      <c r="X141" s="487"/>
      <c r="Y141" s="533">
        <v>10</v>
      </c>
      <c r="Z141" s="533"/>
      <c r="AA141" s="533"/>
      <c r="AB141" s="485">
        <f t="shared" si="16"/>
        <v>1412</v>
      </c>
      <c r="AC141" s="485"/>
      <c r="AD141" s="485"/>
      <c r="AE141" s="485"/>
      <c r="AF141" s="485">
        <v>12.51</v>
      </c>
      <c r="AG141" s="485"/>
      <c r="AH141" s="485"/>
      <c r="AI141" s="486">
        <f t="shared" si="18"/>
        <v>1766.4119999999998</v>
      </c>
      <c r="AJ141" s="486"/>
      <c r="AK141" s="486"/>
      <c r="AL141" s="486"/>
      <c r="AM141" s="486"/>
      <c r="AN141" s="486"/>
      <c r="AO141" s="60"/>
      <c r="AV141" s="323"/>
    </row>
    <row r="142" spans="2:48" ht="24" customHeight="1" x14ac:dyDescent="0.2">
      <c r="B142" s="342">
        <v>3</v>
      </c>
      <c r="C142" s="513"/>
      <c r="D142" s="514"/>
      <c r="E142" s="513"/>
      <c r="F142" s="514"/>
      <c r="G142" s="529" t="s">
        <v>64</v>
      </c>
      <c r="H142" s="529"/>
      <c r="I142" s="529"/>
      <c r="J142" s="529"/>
      <c r="K142" s="529"/>
      <c r="L142" s="529"/>
      <c r="M142" s="529"/>
      <c r="N142" s="529"/>
      <c r="O142" s="529"/>
      <c r="P142" s="529"/>
      <c r="Q142" s="529"/>
      <c r="R142" s="529"/>
      <c r="S142" s="529"/>
      <c r="T142" s="494"/>
      <c r="U142" s="494"/>
      <c r="V142" s="487"/>
      <c r="W142" s="487"/>
      <c r="X142" s="487"/>
      <c r="Y142" s="533"/>
      <c r="Z142" s="533"/>
      <c r="AA142" s="533"/>
      <c r="AB142" s="485" t="str">
        <f t="shared" si="16"/>
        <v/>
      </c>
      <c r="AC142" s="485"/>
      <c r="AD142" s="485"/>
      <c r="AE142" s="485"/>
      <c r="AF142" s="485" t="str">
        <f>IF(T142="","",ROUND(Y142*(1+$AJ$18),2))</f>
        <v/>
      </c>
      <c r="AG142" s="485"/>
      <c r="AH142" s="485"/>
      <c r="AI142" s="507">
        <f>SUM(AI143:AI144)</f>
        <v>6894.9260999999997</v>
      </c>
      <c r="AJ142" s="507"/>
      <c r="AK142" s="507"/>
      <c r="AL142" s="507"/>
      <c r="AM142" s="507"/>
      <c r="AN142" s="507"/>
      <c r="AO142" s="60"/>
      <c r="AV142" s="323"/>
    </row>
    <row r="143" spans="2:48" ht="24" customHeight="1" x14ac:dyDescent="0.2">
      <c r="B143" s="341" t="s">
        <v>4</v>
      </c>
      <c r="C143" s="492" t="s">
        <v>317</v>
      </c>
      <c r="D143" s="492"/>
      <c r="E143" s="492" t="s">
        <v>10</v>
      </c>
      <c r="F143" s="492"/>
      <c r="G143" s="493" t="s">
        <v>386</v>
      </c>
      <c r="H143" s="493"/>
      <c r="I143" s="493"/>
      <c r="J143" s="493"/>
      <c r="K143" s="493"/>
      <c r="L143" s="493"/>
      <c r="M143" s="493"/>
      <c r="N143" s="493"/>
      <c r="O143" s="493"/>
      <c r="P143" s="493"/>
      <c r="Q143" s="493"/>
      <c r="R143" s="493"/>
      <c r="S143" s="493"/>
      <c r="T143" s="494" t="s">
        <v>12</v>
      </c>
      <c r="U143" s="494"/>
      <c r="V143" s="487">
        <v>941.36</v>
      </c>
      <c r="W143" s="487"/>
      <c r="X143" s="487"/>
      <c r="Y143" s="533">
        <v>5.47</v>
      </c>
      <c r="Z143" s="533"/>
      <c r="AA143" s="533"/>
      <c r="AB143" s="485">
        <f t="shared" si="16"/>
        <v>5149.24</v>
      </c>
      <c r="AC143" s="485"/>
      <c r="AD143" s="485"/>
      <c r="AE143" s="485"/>
      <c r="AF143" s="485">
        <v>6.84</v>
      </c>
      <c r="AG143" s="485"/>
      <c r="AH143" s="485"/>
      <c r="AI143" s="485">
        <f>AF143*V143</f>
        <v>6438.9023999999999</v>
      </c>
      <c r="AJ143" s="485"/>
      <c r="AK143" s="485"/>
      <c r="AL143" s="485"/>
      <c r="AM143" s="485"/>
      <c r="AN143" s="485"/>
      <c r="AO143" s="60"/>
      <c r="AV143" s="323"/>
    </row>
    <row r="144" spans="2:48" ht="24" customHeight="1" x14ac:dyDescent="0.2">
      <c r="B144" s="341" t="s">
        <v>251</v>
      </c>
      <c r="C144" s="492" t="s">
        <v>136</v>
      </c>
      <c r="D144" s="492"/>
      <c r="E144" s="492" t="s">
        <v>10</v>
      </c>
      <c r="F144" s="492"/>
      <c r="G144" s="493" t="s">
        <v>375</v>
      </c>
      <c r="H144" s="493"/>
      <c r="I144" s="493"/>
      <c r="J144" s="493"/>
      <c r="K144" s="493"/>
      <c r="L144" s="493"/>
      <c r="M144" s="493"/>
      <c r="N144" s="493"/>
      <c r="O144" s="493"/>
      <c r="P144" s="493"/>
      <c r="Q144" s="493"/>
      <c r="R144" s="493"/>
      <c r="S144" s="493"/>
      <c r="T144" s="494" t="s">
        <v>65</v>
      </c>
      <c r="U144" s="494"/>
      <c r="V144" s="487">
        <v>624.69000000000005</v>
      </c>
      <c r="W144" s="487"/>
      <c r="X144" s="487"/>
      <c r="Y144" s="533">
        <v>0.57999999999999996</v>
      </c>
      <c r="Z144" s="533"/>
      <c r="AA144" s="533"/>
      <c r="AB144" s="536">
        <f t="shared" si="16"/>
        <v>362.32</v>
      </c>
      <c r="AC144" s="537"/>
      <c r="AD144" s="537"/>
      <c r="AE144" s="538"/>
      <c r="AF144" s="536">
        <v>0.73</v>
      </c>
      <c r="AG144" s="537"/>
      <c r="AH144" s="537"/>
      <c r="AI144" s="485">
        <f>AF144*V144</f>
        <v>456.02370000000002</v>
      </c>
      <c r="AJ144" s="485"/>
      <c r="AK144" s="485"/>
      <c r="AL144" s="485"/>
      <c r="AM144" s="485"/>
      <c r="AN144" s="485"/>
      <c r="AO144" s="60"/>
      <c r="AV144" s="323"/>
    </row>
    <row r="145" spans="2:48" ht="24" customHeight="1" x14ac:dyDescent="0.2">
      <c r="B145" s="341"/>
      <c r="C145" s="492"/>
      <c r="D145" s="492"/>
      <c r="E145" s="492"/>
      <c r="F145" s="492"/>
      <c r="G145" s="539"/>
      <c r="H145" s="539"/>
      <c r="I145" s="539"/>
      <c r="J145" s="539"/>
      <c r="K145" s="539"/>
      <c r="L145" s="539"/>
      <c r="M145" s="539"/>
      <c r="N145" s="539"/>
      <c r="O145" s="539"/>
      <c r="P145" s="539"/>
      <c r="Q145" s="539"/>
      <c r="R145" s="539"/>
      <c r="S145" s="539"/>
      <c r="T145" s="494"/>
      <c r="U145" s="494"/>
      <c r="V145" s="487"/>
      <c r="W145" s="487"/>
      <c r="X145" s="487"/>
      <c r="Y145" s="533"/>
      <c r="Z145" s="533"/>
      <c r="AA145" s="533"/>
      <c r="AB145" s="536"/>
      <c r="AC145" s="537"/>
      <c r="AD145" s="537"/>
      <c r="AE145" s="538"/>
      <c r="AF145" s="536"/>
      <c r="AG145" s="537"/>
      <c r="AH145" s="537"/>
      <c r="AI145" s="536"/>
      <c r="AJ145" s="537"/>
      <c r="AK145" s="537"/>
      <c r="AL145" s="537"/>
      <c r="AM145" s="537"/>
      <c r="AN145" s="537"/>
      <c r="AO145" s="60"/>
      <c r="AV145" s="323"/>
    </row>
    <row r="146" spans="2:48" ht="24" customHeight="1" x14ac:dyDescent="0.2">
      <c r="B146" s="339" t="s">
        <v>54</v>
      </c>
      <c r="C146" s="492"/>
      <c r="D146" s="492"/>
      <c r="E146" s="492"/>
      <c r="F146" s="492"/>
      <c r="G146" s="529" t="s">
        <v>149</v>
      </c>
      <c r="H146" s="529"/>
      <c r="I146" s="529"/>
      <c r="J146" s="529"/>
      <c r="K146" s="529"/>
      <c r="L146" s="529"/>
      <c r="M146" s="529"/>
      <c r="N146" s="529"/>
      <c r="O146" s="529"/>
      <c r="P146" s="529"/>
      <c r="Q146" s="529"/>
      <c r="R146" s="529"/>
      <c r="S146" s="529"/>
      <c r="T146" s="494"/>
      <c r="U146" s="494"/>
      <c r="V146" s="487"/>
      <c r="W146" s="487"/>
      <c r="X146" s="487"/>
      <c r="Y146" s="488"/>
      <c r="Z146" s="488"/>
      <c r="AA146" s="488"/>
      <c r="AB146" s="486" t="str">
        <f>IF(T146="","",ROUND(V146*Y146,2))</f>
        <v/>
      </c>
      <c r="AC146" s="486"/>
      <c r="AD146" s="486"/>
      <c r="AE146" s="486"/>
      <c r="AF146" s="486" t="str">
        <f>IF(T146="","",ROUND(Y146*(1+$AJ$18),2))</f>
        <v/>
      </c>
      <c r="AG146" s="486"/>
      <c r="AH146" s="486"/>
      <c r="AI146" s="532">
        <f>SUM(AI147:AI150)</f>
        <v>35266.163590000004</v>
      </c>
      <c r="AJ146" s="532"/>
      <c r="AK146" s="532"/>
      <c r="AL146" s="532"/>
      <c r="AM146" s="532"/>
      <c r="AN146" s="532"/>
      <c r="AO146" s="60"/>
      <c r="AV146" s="323"/>
    </row>
    <row r="147" spans="2:48" ht="24" customHeight="1" x14ac:dyDescent="0.2">
      <c r="B147" s="340" t="s">
        <v>5</v>
      </c>
      <c r="C147" s="492" t="s">
        <v>150</v>
      </c>
      <c r="D147" s="492"/>
      <c r="E147" s="492" t="s">
        <v>10</v>
      </c>
      <c r="F147" s="492"/>
      <c r="G147" s="493" t="s">
        <v>376</v>
      </c>
      <c r="H147" s="493"/>
      <c r="I147" s="493"/>
      <c r="J147" s="493"/>
      <c r="K147" s="493"/>
      <c r="L147" s="493"/>
      <c r="M147" s="493"/>
      <c r="N147" s="493"/>
      <c r="O147" s="493"/>
      <c r="P147" s="493"/>
      <c r="Q147" s="493"/>
      <c r="R147" s="493"/>
      <c r="S147" s="493"/>
      <c r="T147" s="494" t="s">
        <v>12</v>
      </c>
      <c r="U147" s="494"/>
      <c r="V147" s="487">
        <v>855.78</v>
      </c>
      <c r="W147" s="487"/>
      <c r="X147" s="487"/>
      <c r="Y147" s="533">
        <v>1.55</v>
      </c>
      <c r="Z147" s="533"/>
      <c r="AA147" s="533"/>
      <c r="AB147" s="485">
        <f>V147*Y147</f>
        <v>1326.4590000000001</v>
      </c>
      <c r="AC147" s="485"/>
      <c r="AD147" s="485"/>
      <c r="AE147" s="485"/>
      <c r="AF147" s="486">
        <v>1.94</v>
      </c>
      <c r="AG147" s="486"/>
      <c r="AH147" s="486"/>
      <c r="AI147" s="485">
        <f>AF147*V147</f>
        <v>1660.2131999999999</v>
      </c>
      <c r="AJ147" s="485"/>
      <c r="AK147" s="485"/>
      <c r="AL147" s="485"/>
      <c r="AM147" s="485"/>
      <c r="AN147" s="485"/>
      <c r="AO147" s="60"/>
      <c r="AV147" s="323"/>
    </row>
    <row r="148" spans="2:48" ht="24" customHeight="1" x14ac:dyDescent="0.2">
      <c r="B148" s="340" t="s">
        <v>291</v>
      </c>
      <c r="C148" s="492" t="s">
        <v>136</v>
      </c>
      <c r="D148" s="492"/>
      <c r="E148" s="492" t="s">
        <v>10</v>
      </c>
      <c r="F148" s="492"/>
      <c r="G148" s="493" t="s">
        <v>377</v>
      </c>
      <c r="H148" s="493"/>
      <c r="I148" s="493"/>
      <c r="J148" s="493"/>
      <c r="K148" s="493"/>
      <c r="L148" s="493"/>
      <c r="M148" s="493"/>
      <c r="N148" s="493"/>
      <c r="O148" s="493"/>
      <c r="P148" s="493"/>
      <c r="Q148" s="493"/>
      <c r="R148" s="493"/>
      <c r="S148" s="493"/>
      <c r="T148" s="494" t="s">
        <v>152</v>
      </c>
      <c r="U148" s="494"/>
      <c r="V148" s="534">
        <v>236.62299999999999</v>
      </c>
      <c r="W148" s="534"/>
      <c r="X148" s="534"/>
      <c r="Y148" s="533">
        <v>0.57999999999999996</v>
      </c>
      <c r="Z148" s="533"/>
      <c r="AA148" s="533"/>
      <c r="AB148" s="485">
        <f>V148*Y148</f>
        <v>137.24133999999998</v>
      </c>
      <c r="AC148" s="485"/>
      <c r="AD148" s="485"/>
      <c r="AE148" s="485"/>
      <c r="AF148" s="486">
        <v>0.73</v>
      </c>
      <c r="AG148" s="486"/>
      <c r="AH148" s="486"/>
      <c r="AI148" s="485">
        <f>AF148*V148</f>
        <v>172.73478999999998</v>
      </c>
      <c r="AJ148" s="485"/>
      <c r="AK148" s="485"/>
      <c r="AL148" s="485"/>
      <c r="AM148" s="485"/>
      <c r="AN148" s="485"/>
      <c r="AO148" s="60"/>
      <c r="AV148" s="323"/>
    </row>
    <row r="149" spans="2:48" ht="24" customHeight="1" x14ac:dyDescent="0.2">
      <c r="B149" s="340" t="s">
        <v>292</v>
      </c>
      <c r="C149" s="492" t="s">
        <v>294</v>
      </c>
      <c r="D149" s="492"/>
      <c r="E149" s="492" t="s">
        <v>10</v>
      </c>
      <c r="F149" s="492"/>
      <c r="G149" s="493" t="s">
        <v>378</v>
      </c>
      <c r="H149" s="493"/>
      <c r="I149" s="493"/>
      <c r="J149" s="493"/>
      <c r="K149" s="493"/>
      <c r="L149" s="493"/>
      <c r="M149" s="493"/>
      <c r="N149" s="493"/>
      <c r="O149" s="493"/>
      <c r="P149" s="493"/>
      <c r="Q149" s="493"/>
      <c r="R149" s="493"/>
      <c r="S149" s="493"/>
      <c r="T149" s="494" t="s">
        <v>53</v>
      </c>
      <c r="U149" s="494"/>
      <c r="V149" s="535">
        <v>25.7</v>
      </c>
      <c r="W149" s="535"/>
      <c r="X149" s="535"/>
      <c r="Y149" s="488">
        <v>865</v>
      </c>
      <c r="Z149" s="488"/>
      <c r="AA149" s="488"/>
      <c r="AB149" s="486">
        <f>IF(T149="","",ROUND(V149*Y149,2))</f>
        <v>22230.5</v>
      </c>
      <c r="AC149" s="486"/>
      <c r="AD149" s="486"/>
      <c r="AE149" s="486"/>
      <c r="AF149" s="486">
        <v>1082.1300000000001</v>
      </c>
      <c r="AG149" s="486"/>
      <c r="AH149" s="486"/>
      <c r="AI149" s="485">
        <f>AF149*V149</f>
        <v>27810.741000000002</v>
      </c>
      <c r="AJ149" s="485"/>
      <c r="AK149" s="485"/>
      <c r="AL149" s="485"/>
      <c r="AM149" s="485"/>
      <c r="AN149" s="485"/>
      <c r="AO149" s="60"/>
      <c r="AV149" s="323"/>
    </row>
    <row r="150" spans="2:48" ht="24" customHeight="1" x14ac:dyDescent="0.2">
      <c r="B150" s="340" t="s">
        <v>293</v>
      </c>
      <c r="C150" s="492" t="s">
        <v>136</v>
      </c>
      <c r="D150" s="492"/>
      <c r="E150" s="492" t="s">
        <v>10</v>
      </c>
      <c r="F150" s="492"/>
      <c r="G150" s="493" t="s">
        <v>379</v>
      </c>
      <c r="H150" s="493"/>
      <c r="I150" s="493"/>
      <c r="J150" s="493"/>
      <c r="K150" s="493"/>
      <c r="L150" s="493"/>
      <c r="M150" s="493"/>
      <c r="N150" s="493"/>
      <c r="O150" s="493"/>
      <c r="P150" s="493"/>
      <c r="Q150" s="493"/>
      <c r="R150" s="493"/>
      <c r="S150" s="493"/>
      <c r="T150" s="494" t="s">
        <v>152</v>
      </c>
      <c r="U150" s="494"/>
      <c r="V150" s="487">
        <v>7702.02</v>
      </c>
      <c r="W150" s="487"/>
      <c r="X150" s="487"/>
      <c r="Y150" s="533">
        <v>0.57999999999999996</v>
      </c>
      <c r="Z150" s="533"/>
      <c r="AA150" s="533"/>
      <c r="AB150" s="485">
        <f>IF(T150="","",ROUND(V150*Y150,2))</f>
        <v>4467.17</v>
      </c>
      <c r="AC150" s="485"/>
      <c r="AD150" s="485"/>
      <c r="AE150" s="485"/>
      <c r="AF150" s="485">
        <v>0.73</v>
      </c>
      <c r="AG150" s="485"/>
      <c r="AH150" s="485"/>
      <c r="AI150" s="485">
        <f>AF150*V150</f>
        <v>5622.4746000000005</v>
      </c>
      <c r="AJ150" s="485"/>
      <c r="AK150" s="485"/>
      <c r="AL150" s="485"/>
      <c r="AM150" s="485"/>
      <c r="AN150" s="485"/>
      <c r="AO150" s="60"/>
      <c r="AV150" s="323"/>
    </row>
    <row r="151" spans="2:48" ht="24" customHeight="1" x14ac:dyDescent="0.2">
      <c r="B151" s="340"/>
      <c r="C151" s="492"/>
      <c r="D151" s="492"/>
      <c r="E151" s="492"/>
      <c r="F151" s="492"/>
      <c r="G151" s="493"/>
      <c r="H151" s="493"/>
      <c r="I151" s="493"/>
      <c r="J151" s="493"/>
      <c r="K151" s="493"/>
      <c r="L151" s="493"/>
      <c r="M151" s="493"/>
      <c r="N151" s="493"/>
      <c r="O151" s="493"/>
      <c r="P151" s="493"/>
      <c r="Q151" s="493"/>
      <c r="R151" s="493"/>
      <c r="S151" s="493"/>
      <c r="T151" s="494"/>
      <c r="U151" s="494"/>
      <c r="V151" s="487"/>
      <c r="W151" s="487"/>
      <c r="X151" s="487"/>
      <c r="Y151" s="533"/>
      <c r="Z151" s="533"/>
      <c r="AA151" s="533"/>
      <c r="AB151" s="485"/>
      <c r="AC151" s="485"/>
      <c r="AD151" s="485"/>
      <c r="AE151" s="485"/>
      <c r="AF151" s="485"/>
      <c r="AG151" s="485"/>
      <c r="AH151" s="485"/>
      <c r="AI151" s="485"/>
      <c r="AJ151" s="485"/>
      <c r="AK151" s="485"/>
      <c r="AL151" s="485"/>
      <c r="AM151" s="485"/>
      <c r="AN151" s="485"/>
      <c r="AO151" s="60"/>
      <c r="AV151" s="305"/>
    </row>
    <row r="152" spans="2:48" ht="24" customHeight="1" x14ac:dyDescent="0.2">
      <c r="B152" s="339" t="s">
        <v>56</v>
      </c>
      <c r="C152" s="492"/>
      <c r="D152" s="492"/>
      <c r="E152" s="492"/>
      <c r="F152" s="492"/>
      <c r="G152" s="529" t="s">
        <v>55</v>
      </c>
      <c r="H152" s="529"/>
      <c r="I152" s="529"/>
      <c r="J152" s="529"/>
      <c r="K152" s="529"/>
      <c r="L152" s="529"/>
      <c r="M152" s="529"/>
      <c r="N152" s="529"/>
      <c r="O152" s="529"/>
      <c r="P152" s="529"/>
      <c r="Q152" s="529"/>
      <c r="R152" s="529"/>
      <c r="S152" s="529"/>
      <c r="T152" s="494"/>
      <c r="U152" s="494"/>
      <c r="V152" s="487"/>
      <c r="W152" s="487"/>
      <c r="X152" s="487"/>
      <c r="Y152" s="488"/>
      <c r="Z152" s="488"/>
      <c r="AA152" s="488"/>
      <c r="AB152" s="486" t="str">
        <f>IF(T152="","",ROUND(V152*Y152,2))</f>
        <v/>
      </c>
      <c r="AC152" s="486"/>
      <c r="AD152" s="486"/>
      <c r="AE152" s="486"/>
      <c r="AF152" s="486" t="str">
        <f t="shared" ref="AF152:AF154" si="19">IF(T152="","",ROUND(Y152*(1+$AJ$18),2))</f>
        <v/>
      </c>
      <c r="AG152" s="486"/>
      <c r="AH152" s="486"/>
      <c r="AI152" s="532">
        <f>AI153</f>
        <v>9933.0038000000004</v>
      </c>
      <c r="AJ152" s="532"/>
      <c r="AK152" s="532"/>
      <c r="AL152" s="532"/>
      <c r="AM152" s="532"/>
      <c r="AN152" s="532"/>
      <c r="AO152" s="60"/>
      <c r="AV152" s="305"/>
    </row>
    <row r="153" spans="2:48" ht="24" customHeight="1" x14ac:dyDescent="0.2">
      <c r="B153" s="340" t="s">
        <v>252</v>
      </c>
      <c r="C153" s="492" t="s">
        <v>259</v>
      </c>
      <c r="D153" s="492"/>
      <c r="E153" s="492" t="s">
        <v>10</v>
      </c>
      <c r="F153" s="492"/>
      <c r="G153" s="493" t="s">
        <v>380</v>
      </c>
      <c r="H153" s="493"/>
      <c r="I153" s="493"/>
      <c r="J153" s="493"/>
      <c r="K153" s="493"/>
      <c r="L153" s="493"/>
      <c r="M153" s="493"/>
      <c r="N153" s="493"/>
      <c r="O153" s="493"/>
      <c r="P153" s="493"/>
      <c r="Q153" s="493"/>
      <c r="R153" s="493"/>
      <c r="S153" s="493"/>
      <c r="T153" s="494" t="s">
        <v>11</v>
      </c>
      <c r="U153" s="494"/>
      <c r="V153" s="487">
        <v>272.66000000000003</v>
      </c>
      <c r="W153" s="487"/>
      <c r="X153" s="487"/>
      <c r="Y153" s="488">
        <v>29.12</v>
      </c>
      <c r="Z153" s="488"/>
      <c r="AA153" s="488"/>
      <c r="AB153" s="485">
        <f>IF(T153="","",ROUND(V153*Y153,2))</f>
        <v>7939.86</v>
      </c>
      <c r="AC153" s="485"/>
      <c r="AD153" s="485"/>
      <c r="AE153" s="485"/>
      <c r="AF153" s="486">
        <v>36.43</v>
      </c>
      <c r="AG153" s="486"/>
      <c r="AH153" s="486"/>
      <c r="AI153" s="486">
        <f>V153*AF153</f>
        <v>9933.0038000000004</v>
      </c>
      <c r="AJ153" s="486"/>
      <c r="AK153" s="486"/>
      <c r="AL153" s="486"/>
      <c r="AM153" s="486"/>
      <c r="AN153" s="486"/>
      <c r="AO153" s="60"/>
      <c r="AV153" s="305"/>
    </row>
    <row r="154" spans="2:48" ht="24" customHeight="1" x14ac:dyDescent="0.2">
      <c r="B154" s="342">
        <v>6</v>
      </c>
      <c r="C154" s="513"/>
      <c r="D154" s="514"/>
      <c r="E154" s="513"/>
      <c r="F154" s="514"/>
      <c r="G154" s="529" t="s">
        <v>68</v>
      </c>
      <c r="H154" s="529"/>
      <c r="I154" s="529"/>
      <c r="J154" s="529"/>
      <c r="K154" s="529"/>
      <c r="L154" s="529"/>
      <c r="M154" s="529"/>
      <c r="N154" s="529"/>
      <c r="O154" s="529"/>
      <c r="P154" s="529"/>
      <c r="Q154" s="529"/>
      <c r="R154" s="529"/>
      <c r="S154" s="529"/>
      <c r="T154" s="494"/>
      <c r="U154" s="494"/>
      <c r="V154" s="520"/>
      <c r="W154" s="521"/>
      <c r="X154" s="522"/>
      <c r="Y154" s="530"/>
      <c r="Z154" s="530"/>
      <c r="AA154" s="530"/>
      <c r="AB154" s="485"/>
      <c r="AC154" s="485"/>
      <c r="AD154" s="485"/>
      <c r="AE154" s="485"/>
      <c r="AF154" s="486" t="str">
        <f t="shared" si="19"/>
        <v/>
      </c>
      <c r="AG154" s="486"/>
      <c r="AH154" s="486"/>
      <c r="AI154" s="531">
        <f>AI155+AI156+AI157</f>
        <v>21122.881399999998</v>
      </c>
      <c r="AJ154" s="507"/>
      <c r="AK154" s="507"/>
      <c r="AL154" s="507"/>
      <c r="AM154" s="507"/>
      <c r="AN154" s="507"/>
      <c r="AO154" s="60"/>
      <c r="AV154" s="305"/>
    </row>
    <row r="155" spans="2:48" ht="35.25" customHeight="1" x14ac:dyDescent="0.2">
      <c r="B155" s="341" t="s">
        <v>253</v>
      </c>
      <c r="C155" s="492" t="s">
        <v>325</v>
      </c>
      <c r="D155" s="492"/>
      <c r="E155" s="492" t="s">
        <v>10</v>
      </c>
      <c r="F155" s="492"/>
      <c r="G155" s="493" t="s">
        <v>381</v>
      </c>
      <c r="H155" s="493"/>
      <c r="I155" s="493"/>
      <c r="J155" s="493"/>
      <c r="K155" s="493"/>
      <c r="L155" s="493"/>
      <c r="M155" s="493"/>
      <c r="N155" s="493"/>
      <c r="O155" s="493"/>
      <c r="P155" s="493"/>
      <c r="Q155" s="493"/>
      <c r="R155" s="493"/>
      <c r="S155" s="493"/>
      <c r="T155" s="494" t="s">
        <v>53</v>
      </c>
      <c r="U155" s="494"/>
      <c r="V155" s="487">
        <v>33.54</v>
      </c>
      <c r="W155" s="487"/>
      <c r="X155" s="487"/>
      <c r="Y155" s="484">
        <v>462.88</v>
      </c>
      <c r="Z155" s="484"/>
      <c r="AA155" s="484"/>
      <c r="AB155" s="485">
        <f>V155*Y155</f>
        <v>15524.995199999999</v>
      </c>
      <c r="AC155" s="485"/>
      <c r="AD155" s="485"/>
      <c r="AE155" s="485"/>
      <c r="AF155" s="486">
        <v>579.07000000000005</v>
      </c>
      <c r="AG155" s="486"/>
      <c r="AH155" s="486"/>
      <c r="AI155" s="485">
        <f>V155*AF155</f>
        <v>19422.007799999999</v>
      </c>
      <c r="AJ155" s="485"/>
      <c r="AK155" s="485"/>
      <c r="AL155" s="485"/>
      <c r="AM155" s="485"/>
      <c r="AN155" s="485"/>
      <c r="AO155" s="60"/>
      <c r="AV155" s="305"/>
    </row>
    <row r="156" spans="2:48" ht="35.25" customHeight="1" x14ac:dyDescent="0.2">
      <c r="B156" s="438" t="s">
        <v>254</v>
      </c>
      <c r="C156" s="513" t="s">
        <v>243</v>
      </c>
      <c r="D156" s="514"/>
      <c r="E156" s="513" t="s">
        <v>10</v>
      </c>
      <c r="F156" s="514"/>
      <c r="G156" s="515" t="s">
        <v>437</v>
      </c>
      <c r="H156" s="516"/>
      <c r="I156" s="516"/>
      <c r="J156" s="516"/>
      <c r="K156" s="516"/>
      <c r="L156" s="516"/>
      <c r="M156" s="516"/>
      <c r="N156" s="516"/>
      <c r="O156" s="516"/>
      <c r="P156" s="516"/>
      <c r="Q156" s="516"/>
      <c r="R156" s="516"/>
      <c r="S156" s="517"/>
      <c r="T156" s="518" t="s">
        <v>12</v>
      </c>
      <c r="U156" s="519"/>
      <c r="V156" s="520">
        <v>54.24</v>
      </c>
      <c r="W156" s="521"/>
      <c r="X156" s="522"/>
      <c r="Y156" s="523">
        <v>10.86</v>
      </c>
      <c r="Z156" s="524"/>
      <c r="AA156" s="525"/>
      <c r="AB156" s="485">
        <f>V156*Y156</f>
        <v>589.04639999999995</v>
      </c>
      <c r="AC156" s="485"/>
      <c r="AD156" s="485"/>
      <c r="AE156" s="485"/>
      <c r="AF156" s="486">
        <v>13.59</v>
      </c>
      <c r="AG156" s="486"/>
      <c r="AH156" s="486"/>
      <c r="AI156" s="485">
        <f>V156*AF156</f>
        <v>737.12160000000006</v>
      </c>
      <c r="AJ156" s="485"/>
      <c r="AK156" s="485"/>
      <c r="AL156" s="485"/>
      <c r="AM156" s="485"/>
      <c r="AN156" s="485"/>
      <c r="AO156" s="60"/>
      <c r="AV156" s="305"/>
    </row>
    <row r="157" spans="2:48" ht="24" customHeight="1" x14ac:dyDescent="0.2">
      <c r="B157" s="438" t="s">
        <v>423</v>
      </c>
      <c r="C157" s="513">
        <v>38135</v>
      </c>
      <c r="D157" s="514"/>
      <c r="E157" s="526" t="s">
        <v>318</v>
      </c>
      <c r="F157" s="527"/>
      <c r="G157" s="509" t="s">
        <v>438</v>
      </c>
      <c r="H157" s="510"/>
      <c r="I157" s="510"/>
      <c r="J157" s="510"/>
      <c r="K157" s="510"/>
      <c r="L157" s="510"/>
      <c r="M157" s="510"/>
      <c r="N157" s="510"/>
      <c r="O157" s="510"/>
      <c r="P157" s="510"/>
      <c r="Q157" s="510"/>
      <c r="R157" s="510"/>
      <c r="S157" s="511"/>
      <c r="T157" s="526" t="s">
        <v>12</v>
      </c>
      <c r="U157" s="527"/>
      <c r="V157" s="520">
        <v>21.2</v>
      </c>
      <c r="W157" s="521"/>
      <c r="X157" s="522"/>
      <c r="Y157" s="526">
        <f>Y123</f>
        <v>36.340000000000003</v>
      </c>
      <c r="Z157" s="528"/>
      <c r="AA157" s="527"/>
      <c r="AB157" s="485">
        <f>V157*Y157</f>
        <v>770.40800000000002</v>
      </c>
      <c r="AC157" s="485"/>
      <c r="AD157" s="485"/>
      <c r="AE157" s="485"/>
      <c r="AF157" s="486">
        <v>45.46</v>
      </c>
      <c r="AG157" s="486"/>
      <c r="AH157" s="486"/>
      <c r="AI157" s="485">
        <f>V157*AF157</f>
        <v>963.75199999999995</v>
      </c>
      <c r="AJ157" s="485"/>
      <c r="AK157" s="485"/>
      <c r="AL157" s="485"/>
      <c r="AM157" s="485"/>
      <c r="AN157" s="485"/>
      <c r="AO157" s="60">
        <v>2237.7600000000002</v>
      </c>
      <c r="AV157" s="305"/>
    </row>
    <row r="158" spans="2:48" ht="24" customHeight="1" x14ac:dyDescent="0.2">
      <c r="B158" s="344" t="s">
        <v>134</v>
      </c>
      <c r="C158" s="485"/>
      <c r="D158" s="485"/>
      <c r="E158" s="485"/>
      <c r="F158" s="485"/>
      <c r="G158" s="495" t="s">
        <v>131</v>
      </c>
      <c r="H158" s="496"/>
      <c r="I158" s="496"/>
      <c r="J158" s="496"/>
      <c r="K158" s="496"/>
      <c r="L158" s="496"/>
      <c r="M158" s="496"/>
      <c r="N158" s="496"/>
      <c r="O158" s="496"/>
      <c r="P158" s="496"/>
      <c r="Q158" s="496"/>
      <c r="R158" s="496"/>
      <c r="S158" s="497"/>
      <c r="T158" s="485"/>
      <c r="U158" s="485"/>
      <c r="V158" s="485"/>
      <c r="W158" s="485"/>
      <c r="X158" s="485"/>
      <c r="Y158" s="485"/>
      <c r="Z158" s="485"/>
      <c r="AA158" s="485"/>
      <c r="AB158" s="485"/>
      <c r="AC158" s="485"/>
      <c r="AD158" s="485"/>
      <c r="AE158" s="485"/>
      <c r="AF158" s="486"/>
      <c r="AG158" s="486"/>
      <c r="AH158" s="486"/>
      <c r="AI158" s="507">
        <f>SUM(AI159:AI163)</f>
        <v>1614.6288</v>
      </c>
      <c r="AJ158" s="507"/>
      <c r="AK158" s="507"/>
      <c r="AL158" s="507"/>
      <c r="AM158" s="507"/>
      <c r="AN158" s="507"/>
      <c r="AO158" s="60"/>
      <c r="AV158" s="305"/>
    </row>
    <row r="159" spans="2:48" ht="24" customHeight="1" x14ac:dyDescent="0.2">
      <c r="B159" s="343" t="s">
        <v>255</v>
      </c>
      <c r="C159" s="508">
        <v>72947</v>
      </c>
      <c r="D159" s="508"/>
      <c r="E159" s="485" t="s">
        <v>10</v>
      </c>
      <c r="F159" s="485"/>
      <c r="G159" s="509" t="s">
        <v>382</v>
      </c>
      <c r="H159" s="510"/>
      <c r="I159" s="510"/>
      <c r="J159" s="510"/>
      <c r="K159" s="510"/>
      <c r="L159" s="510"/>
      <c r="M159" s="510"/>
      <c r="N159" s="510"/>
      <c r="O159" s="510"/>
      <c r="P159" s="510"/>
      <c r="Q159" s="510"/>
      <c r="R159" s="510"/>
      <c r="S159" s="511"/>
      <c r="T159" s="485" t="s">
        <v>89</v>
      </c>
      <c r="U159" s="485"/>
      <c r="V159" s="512">
        <v>44.16</v>
      </c>
      <c r="W159" s="508"/>
      <c r="X159" s="508"/>
      <c r="Y159" s="485">
        <v>20.73</v>
      </c>
      <c r="Z159" s="485"/>
      <c r="AA159" s="485"/>
      <c r="AB159" s="485">
        <f>V159*Y159</f>
        <v>915.43679999999995</v>
      </c>
      <c r="AC159" s="485"/>
      <c r="AD159" s="485"/>
      <c r="AE159" s="485"/>
      <c r="AF159" s="486">
        <v>25.93</v>
      </c>
      <c r="AG159" s="486"/>
      <c r="AH159" s="486"/>
      <c r="AI159" s="485">
        <f>V159*AF159</f>
        <v>1145.0688</v>
      </c>
      <c r="AJ159" s="485"/>
      <c r="AK159" s="485"/>
      <c r="AL159" s="485"/>
      <c r="AM159" s="485"/>
      <c r="AN159" s="485"/>
      <c r="AO159" s="60"/>
      <c r="AV159" s="305"/>
    </row>
    <row r="160" spans="2:48" ht="24" customHeight="1" x14ac:dyDescent="0.2">
      <c r="B160" s="340" t="s">
        <v>256</v>
      </c>
      <c r="C160" s="492" t="s">
        <v>180</v>
      </c>
      <c r="D160" s="492"/>
      <c r="E160" s="492" t="s">
        <v>146</v>
      </c>
      <c r="F160" s="492"/>
      <c r="G160" s="493" t="s">
        <v>383</v>
      </c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4" t="s">
        <v>89</v>
      </c>
      <c r="U160" s="494"/>
      <c r="V160" s="487">
        <f>'MEMÓRIA DE CÁLCULO'!D301</f>
        <v>0</v>
      </c>
      <c r="W160" s="487"/>
      <c r="X160" s="487"/>
      <c r="Y160" s="488">
        <f>Y127</f>
        <v>307.91000000000003</v>
      </c>
      <c r="Z160" s="488"/>
      <c r="AA160" s="488"/>
      <c r="AB160" s="485">
        <f>V160*Y160</f>
        <v>0</v>
      </c>
      <c r="AC160" s="485"/>
      <c r="AD160" s="485"/>
      <c r="AE160" s="485"/>
      <c r="AF160" s="485">
        <v>385.2</v>
      </c>
      <c r="AG160" s="485"/>
      <c r="AH160" s="485"/>
      <c r="AI160" s="485">
        <f>V160*AF160</f>
        <v>0</v>
      </c>
      <c r="AJ160" s="485"/>
      <c r="AK160" s="485"/>
      <c r="AL160" s="485"/>
      <c r="AM160" s="485"/>
      <c r="AN160" s="485"/>
      <c r="AO160" s="60"/>
      <c r="AV160" s="305"/>
    </row>
    <row r="161" spans="2:48" ht="24" customHeight="1" x14ac:dyDescent="0.2">
      <c r="B161" s="340" t="s">
        <v>135</v>
      </c>
      <c r="C161" s="492" t="s">
        <v>179</v>
      </c>
      <c r="D161" s="492"/>
      <c r="E161" s="492" t="s">
        <v>146</v>
      </c>
      <c r="F161" s="492"/>
      <c r="G161" s="493" t="s">
        <v>388</v>
      </c>
      <c r="H161" s="493"/>
      <c r="I161" s="493"/>
      <c r="J161" s="493"/>
      <c r="K161" s="493"/>
      <c r="L161" s="493"/>
      <c r="M161" s="493"/>
      <c r="N161" s="493"/>
      <c r="O161" s="493"/>
      <c r="P161" s="493"/>
      <c r="Q161" s="493"/>
      <c r="R161" s="493"/>
      <c r="S161" s="493"/>
      <c r="T161" s="494" t="s">
        <v>133</v>
      </c>
      <c r="U161" s="494"/>
      <c r="V161" s="487">
        <v>0</v>
      </c>
      <c r="W161" s="487"/>
      <c r="X161" s="487"/>
      <c r="Y161" s="488">
        <f>Y128</f>
        <v>91.53</v>
      </c>
      <c r="Z161" s="488"/>
      <c r="AA161" s="488"/>
      <c r="AB161" s="485">
        <f>V161*Y161</f>
        <v>0</v>
      </c>
      <c r="AC161" s="485"/>
      <c r="AD161" s="485"/>
      <c r="AE161" s="485"/>
      <c r="AF161" s="485">
        <v>114.51</v>
      </c>
      <c r="AG161" s="485"/>
      <c r="AH161" s="485"/>
      <c r="AI161" s="485">
        <f>V161*AF161</f>
        <v>0</v>
      </c>
      <c r="AJ161" s="485"/>
      <c r="AK161" s="485"/>
      <c r="AL161" s="485"/>
      <c r="AM161" s="485"/>
      <c r="AN161" s="485"/>
      <c r="AO161" s="60"/>
      <c r="AV161" s="305"/>
    </row>
    <row r="162" spans="2:48" ht="24" customHeight="1" x14ac:dyDescent="0.2">
      <c r="B162" s="340" t="s">
        <v>257</v>
      </c>
      <c r="C162" s="492" t="s">
        <v>132</v>
      </c>
      <c r="D162" s="492"/>
      <c r="E162" s="492" t="s">
        <v>10</v>
      </c>
      <c r="F162" s="492"/>
      <c r="G162" s="493" t="s">
        <v>387</v>
      </c>
      <c r="H162" s="493"/>
      <c r="I162" s="493"/>
      <c r="J162" s="493"/>
      <c r="K162" s="493"/>
      <c r="L162" s="493"/>
      <c r="M162" s="493"/>
      <c r="N162" s="493"/>
      <c r="O162" s="493"/>
      <c r="P162" s="493"/>
      <c r="Q162" s="493"/>
      <c r="R162" s="493"/>
      <c r="S162" s="493"/>
      <c r="T162" s="494" t="s">
        <v>133</v>
      </c>
      <c r="U162" s="494"/>
      <c r="V162" s="487">
        <v>2</v>
      </c>
      <c r="W162" s="487"/>
      <c r="X162" s="487"/>
      <c r="Y162" s="488">
        <v>96.14</v>
      </c>
      <c r="Z162" s="488"/>
      <c r="AA162" s="488"/>
      <c r="AB162" s="485">
        <f>V162*Y162</f>
        <v>192.28</v>
      </c>
      <c r="AC162" s="485"/>
      <c r="AD162" s="485"/>
      <c r="AE162" s="485"/>
      <c r="AF162" s="485">
        <v>120.27</v>
      </c>
      <c r="AG162" s="485"/>
      <c r="AH162" s="485"/>
      <c r="AI162" s="485">
        <f>V162*AF162</f>
        <v>240.54</v>
      </c>
      <c r="AJ162" s="485"/>
      <c r="AK162" s="485"/>
      <c r="AL162" s="485"/>
      <c r="AM162" s="485"/>
      <c r="AN162" s="485"/>
      <c r="AO162" s="60"/>
      <c r="AV162" s="305"/>
    </row>
    <row r="163" spans="2:48" ht="24" customHeight="1" x14ac:dyDescent="0.2">
      <c r="B163" s="340" t="s">
        <v>258</v>
      </c>
      <c r="C163" s="492" t="s">
        <v>151</v>
      </c>
      <c r="D163" s="492"/>
      <c r="E163" s="492" t="s">
        <v>146</v>
      </c>
      <c r="F163" s="492"/>
      <c r="G163" s="493" t="s">
        <v>384</v>
      </c>
      <c r="H163" s="493"/>
      <c r="I163" s="493"/>
      <c r="J163" s="493"/>
      <c r="K163" s="493"/>
      <c r="L163" s="493"/>
      <c r="M163" s="493"/>
      <c r="N163" s="493"/>
      <c r="O163" s="493"/>
      <c r="P163" s="493"/>
      <c r="Q163" s="493"/>
      <c r="R163" s="493"/>
      <c r="S163" s="493"/>
      <c r="T163" s="494" t="s">
        <v>133</v>
      </c>
      <c r="U163" s="494"/>
      <c r="V163" s="487">
        <v>2</v>
      </c>
      <c r="W163" s="487"/>
      <c r="X163" s="487"/>
      <c r="Y163" s="488">
        <f>Y161</f>
        <v>91.53</v>
      </c>
      <c r="Z163" s="488"/>
      <c r="AA163" s="488"/>
      <c r="AB163" s="485">
        <f>V163*Y163</f>
        <v>183.06</v>
      </c>
      <c r="AC163" s="485"/>
      <c r="AD163" s="485"/>
      <c r="AE163" s="485"/>
      <c r="AF163" s="485">
        <v>114.51</v>
      </c>
      <c r="AG163" s="485"/>
      <c r="AH163" s="485"/>
      <c r="AI163" s="485">
        <f>V163*AF163</f>
        <v>229.02</v>
      </c>
      <c r="AJ163" s="485"/>
      <c r="AK163" s="485"/>
      <c r="AL163" s="485"/>
      <c r="AM163" s="485"/>
      <c r="AN163" s="485"/>
      <c r="AO163" s="60"/>
      <c r="AV163" s="305"/>
    </row>
    <row r="164" spans="2:48" ht="24" customHeight="1" x14ac:dyDescent="0.2">
      <c r="B164" s="340"/>
      <c r="C164" s="492"/>
      <c r="D164" s="492"/>
      <c r="E164" s="492"/>
      <c r="F164" s="492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4"/>
      <c r="U164" s="494"/>
      <c r="V164" s="487"/>
      <c r="W164" s="487"/>
      <c r="X164" s="487"/>
      <c r="Y164" s="488"/>
      <c r="Z164" s="488"/>
      <c r="AA164" s="488"/>
      <c r="AB164" s="486"/>
      <c r="AC164" s="486"/>
      <c r="AD164" s="486"/>
      <c r="AE164" s="486"/>
      <c r="AF164" s="485"/>
      <c r="AG164" s="485"/>
      <c r="AH164" s="485"/>
      <c r="AI164" s="486"/>
      <c r="AJ164" s="486"/>
      <c r="AK164" s="486"/>
      <c r="AL164" s="486"/>
      <c r="AM164" s="486"/>
      <c r="AN164" s="486"/>
      <c r="AO164" s="60"/>
      <c r="AV164" s="323"/>
    </row>
    <row r="165" spans="2:48" ht="24" customHeight="1" x14ac:dyDescent="0.25">
      <c r="B165" s="340"/>
      <c r="C165" s="492"/>
      <c r="D165" s="492"/>
      <c r="E165" s="492"/>
      <c r="F165" s="492"/>
      <c r="G165" s="551" t="s">
        <v>390</v>
      </c>
      <c r="H165" s="552"/>
      <c r="I165" s="552"/>
      <c r="J165" s="552"/>
      <c r="K165" s="552"/>
      <c r="L165" s="552"/>
      <c r="M165" s="552"/>
      <c r="N165" s="552"/>
      <c r="O165" s="552"/>
      <c r="P165" s="552"/>
      <c r="Q165" s="552"/>
      <c r="R165" s="552"/>
      <c r="S165" s="552"/>
      <c r="T165" s="494"/>
      <c r="U165" s="494"/>
      <c r="V165" s="487"/>
      <c r="W165" s="487"/>
      <c r="X165" s="487"/>
      <c r="Y165" s="488"/>
      <c r="Z165" s="488"/>
      <c r="AA165" s="488"/>
      <c r="AB165" s="486"/>
      <c r="AC165" s="486"/>
      <c r="AD165" s="486"/>
      <c r="AE165" s="486"/>
      <c r="AF165" s="486"/>
      <c r="AG165" s="486"/>
      <c r="AH165" s="486"/>
      <c r="AI165" s="553">
        <f>AI166+AI168+AI175+AI179+AI185+AI187+AI191</f>
        <v>67712.606870000018</v>
      </c>
      <c r="AJ165" s="553"/>
      <c r="AK165" s="553"/>
      <c r="AL165" s="553"/>
      <c r="AM165" s="553"/>
      <c r="AN165" s="553"/>
      <c r="AO165" s="60">
        <f>AI165</f>
        <v>67712.606870000018</v>
      </c>
      <c r="AV165" s="323"/>
    </row>
    <row r="166" spans="2:48" ht="24" customHeight="1" x14ac:dyDescent="0.2">
      <c r="B166" s="340"/>
      <c r="C166" s="492"/>
      <c r="D166" s="492"/>
      <c r="E166" s="492"/>
      <c r="F166" s="492"/>
      <c r="G166" s="529" t="s">
        <v>287</v>
      </c>
      <c r="H166" s="554"/>
      <c r="I166" s="554"/>
      <c r="J166" s="554"/>
      <c r="K166" s="554"/>
      <c r="L166" s="554"/>
      <c r="M166" s="554"/>
      <c r="N166" s="554"/>
      <c r="O166" s="554"/>
      <c r="P166" s="554"/>
      <c r="Q166" s="554"/>
      <c r="R166" s="554"/>
      <c r="S166" s="554"/>
      <c r="T166" s="494"/>
      <c r="U166" s="494"/>
      <c r="V166" s="487"/>
      <c r="W166" s="487"/>
      <c r="X166" s="487"/>
      <c r="Y166" s="488"/>
      <c r="Z166" s="488"/>
      <c r="AA166" s="488"/>
      <c r="AB166" s="486"/>
      <c r="AC166" s="486"/>
      <c r="AD166" s="486"/>
      <c r="AE166" s="486"/>
      <c r="AF166" s="486"/>
      <c r="AG166" s="486"/>
      <c r="AH166" s="486"/>
      <c r="AI166" s="532">
        <f>AI167</f>
        <v>343.375</v>
      </c>
      <c r="AJ166" s="532"/>
      <c r="AK166" s="532"/>
      <c r="AL166" s="532"/>
      <c r="AM166" s="532"/>
      <c r="AN166" s="532"/>
      <c r="AO166" s="60"/>
      <c r="AV166" s="323"/>
    </row>
    <row r="167" spans="2:48" ht="24" customHeight="1" x14ac:dyDescent="0.2">
      <c r="B167" s="444" t="s">
        <v>245</v>
      </c>
      <c r="C167" s="545" t="s">
        <v>69</v>
      </c>
      <c r="D167" s="545"/>
      <c r="E167" s="545" t="s">
        <v>10</v>
      </c>
      <c r="F167" s="545"/>
      <c r="G167" s="546" t="s">
        <v>368</v>
      </c>
      <c r="H167" s="546"/>
      <c r="I167" s="546"/>
      <c r="J167" s="546"/>
      <c r="K167" s="546"/>
      <c r="L167" s="546"/>
      <c r="M167" s="546"/>
      <c r="N167" s="546"/>
      <c r="O167" s="546"/>
      <c r="P167" s="546"/>
      <c r="Q167" s="546"/>
      <c r="R167" s="546"/>
      <c r="S167" s="546"/>
      <c r="T167" s="547" t="s">
        <v>12</v>
      </c>
      <c r="U167" s="547"/>
      <c r="V167" s="548">
        <v>837.5</v>
      </c>
      <c r="W167" s="548"/>
      <c r="X167" s="548"/>
      <c r="Y167" s="549">
        <v>0.33</v>
      </c>
      <c r="Z167" s="549"/>
      <c r="AA167" s="549"/>
      <c r="AB167" s="550">
        <f t="shared" ref="AB167:AB177" si="20">IF(T167="","",ROUND(V167*Y167,2))</f>
        <v>276.38</v>
      </c>
      <c r="AC167" s="550"/>
      <c r="AD167" s="550"/>
      <c r="AE167" s="550"/>
      <c r="AF167" s="550">
        <v>0.41</v>
      </c>
      <c r="AG167" s="550"/>
      <c r="AH167" s="550"/>
      <c r="AI167" s="550">
        <f>V167*AF167</f>
        <v>343.375</v>
      </c>
      <c r="AJ167" s="550"/>
      <c r="AK167" s="550"/>
      <c r="AL167" s="550"/>
      <c r="AM167" s="550"/>
      <c r="AN167" s="550"/>
      <c r="AO167" s="60"/>
      <c r="AV167" s="323"/>
    </row>
    <row r="168" spans="2:48" ht="24" customHeight="1" x14ac:dyDescent="0.2">
      <c r="B168" s="340">
        <v>2</v>
      </c>
      <c r="C168" s="492"/>
      <c r="D168" s="492"/>
      <c r="E168" s="492"/>
      <c r="F168" s="492"/>
      <c r="G168" s="529" t="s">
        <v>244</v>
      </c>
      <c r="H168" s="529"/>
      <c r="I168" s="529"/>
      <c r="J168" s="529"/>
      <c r="K168" s="529"/>
      <c r="L168" s="529"/>
      <c r="M168" s="529"/>
      <c r="N168" s="529"/>
      <c r="O168" s="529"/>
      <c r="P168" s="529"/>
      <c r="Q168" s="529"/>
      <c r="R168" s="529"/>
      <c r="S168" s="529"/>
      <c r="T168" s="494"/>
      <c r="U168" s="494"/>
      <c r="V168" s="487"/>
      <c r="W168" s="487"/>
      <c r="X168" s="487"/>
      <c r="Y168" s="488"/>
      <c r="Z168" s="488"/>
      <c r="AA168" s="488"/>
      <c r="AB168" s="486" t="str">
        <f t="shared" si="20"/>
        <v/>
      </c>
      <c r="AC168" s="486"/>
      <c r="AD168" s="486"/>
      <c r="AE168" s="486"/>
      <c r="AF168" s="486" t="str">
        <f t="shared" ref="AF168" si="21">IF(T168="","",ROUND(Y168*(1+$AJ$18),2))</f>
        <v/>
      </c>
      <c r="AG168" s="486"/>
      <c r="AH168" s="486"/>
      <c r="AI168" s="532">
        <f>SUM(AI169:AI174)</f>
        <v>6301.4854000000005</v>
      </c>
      <c r="AJ168" s="532"/>
      <c r="AK168" s="532"/>
      <c r="AL168" s="532"/>
      <c r="AM168" s="532"/>
      <c r="AN168" s="532"/>
      <c r="AO168" s="60"/>
      <c r="AV168" s="323"/>
    </row>
    <row r="169" spans="2:48" ht="24" customHeight="1" x14ac:dyDescent="0.2">
      <c r="B169" s="340" t="s">
        <v>246</v>
      </c>
      <c r="C169" s="492" t="s">
        <v>14</v>
      </c>
      <c r="D169" s="492"/>
      <c r="E169" s="492" t="s">
        <v>10</v>
      </c>
      <c r="F169" s="492"/>
      <c r="G169" s="493" t="s">
        <v>369</v>
      </c>
      <c r="H169" s="493"/>
      <c r="I169" s="493"/>
      <c r="J169" s="493"/>
      <c r="K169" s="493"/>
      <c r="L169" s="493"/>
      <c r="M169" s="493"/>
      <c r="N169" s="493"/>
      <c r="O169" s="493"/>
      <c r="P169" s="493"/>
      <c r="Q169" s="493"/>
      <c r="R169" s="493"/>
      <c r="S169" s="493"/>
      <c r="T169" s="494" t="s">
        <v>53</v>
      </c>
      <c r="U169" s="494"/>
      <c r="V169" s="487">
        <v>125.63</v>
      </c>
      <c r="W169" s="487"/>
      <c r="X169" s="487"/>
      <c r="Y169" s="488">
        <v>4.4400000000000004</v>
      </c>
      <c r="Z169" s="488"/>
      <c r="AA169" s="488"/>
      <c r="AB169" s="486">
        <f t="shared" si="20"/>
        <v>557.79999999999995</v>
      </c>
      <c r="AC169" s="486"/>
      <c r="AD169" s="486"/>
      <c r="AE169" s="486"/>
      <c r="AF169" s="486">
        <v>5.55</v>
      </c>
      <c r="AG169" s="486"/>
      <c r="AH169" s="486"/>
      <c r="AI169" s="486">
        <f t="shared" ref="AI169:AI174" si="22">AF169*V169</f>
        <v>697.24649999999997</v>
      </c>
      <c r="AJ169" s="486"/>
      <c r="AK169" s="486"/>
      <c r="AL169" s="486"/>
      <c r="AM169" s="486"/>
      <c r="AN169" s="486"/>
      <c r="AO169" s="60"/>
      <c r="AV169" s="323"/>
    </row>
    <row r="170" spans="2:48" ht="24" customHeight="1" x14ac:dyDescent="0.2">
      <c r="B170" s="340" t="s">
        <v>266</v>
      </c>
      <c r="C170" s="492" t="s">
        <v>367</v>
      </c>
      <c r="D170" s="492"/>
      <c r="E170" s="492" t="s">
        <v>10</v>
      </c>
      <c r="F170" s="492"/>
      <c r="G170" s="493" t="s">
        <v>370</v>
      </c>
      <c r="H170" s="493"/>
      <c r="I170" s="493"/>
      <c r="J170" s="493"/>
      <c r="K170" s="493"/>
      <c r="L170" s="493"/>
      <c r="M170" s="493"/>
      <c r="N170" s="493"/>
      <c r="O170" s="493"/>
      <c r="P170" s="493"/>
      <c r="Q170" s="493"/>
      <c r="R170" s="493"/>
      <c r="S170" s="493"/>
      <c r="T170" s="494" t="s">
        <v>63</v>
      </c>
      <c r="U170" s="494"/>
      <c r="V170" s="487">
        <v>125.63</v>
      </c>
      <c r="W170" s="487"/>
      <c r="X170" s="487"/>
      <c r="Y170" s="488">
        <v>1.31</v>
      </c>
      <c r="Z170" s="488"/>
      <c r="AA170" s="488"/>
      <c r="AB170" s="542">
        <f t="shared" si="20"/>
        <v>164.58</v>
      </c>
      <c r="AC170" s="543"/>
      <c r="AD170" s="543"/>
      <c r="AE170" s="544"/>
      <c r="AF170" s="486">
        <v>1.64</v>
      </c>
      <c r="AG170" s="486"/>
      <c r="AH170" s="486"/>
      <c r="AI170" s="486">
        <f t="shared" si="22"/>
        <v>206.03319999999999</v>
      </c>
      <c r="AJ170" s="486"/>
      <c r="AK170" s="486"/>
      <c r="AL170" s="486"/>
      <c r="AM170" s="486"/>
      <c r="AN170" s="486"/>
      <c r="AO170" s="60"/>
      <c r="AV170" s="323"/>
    </row>
    <row r="171" spans="2:48" ht="24" customHeight="1" x14ac:dyDescent="0.2">
      <c r="B171" s="341" t="s">
        <v>247</v>
      </c>
      <c r="C171" s="492" t="s">
        <v>62</v>
      </c>
      <c r="D171" s="492"/>
      <c r="E171" s="492" t="s">
        <v>10</v>
      </c>
      <c r="F171" s="492"/>
      <c r="G171" s="493" t="s">
        <v>371</v>
      </c>
      <c r="H171" s="493"/>
      <c r="I171" s="493"/>
      <c r="J171" s="493"/>
      <c r="K171" s="493"/>
      <c r="L171" s="493"/>
      <c r="M171" s="493"/>
      <c r="N171" s="493"/>
      <c r="O171" s="493"/>
      <c r="P171" s="493"/>
      <c r="Q171" s="493"/>
      <c r="R171" s="493"/>
      <c r="S171" s="493"/>
      <c r="T171" s="494" t="s">
        <v>12</v>
      </c>
      <c r="U171" s="494"/>
      <c r="V171" s="487">
        <v>837.5</v>
      </c>
      <c r="W171" s="487"/>
      <c r="X171" s="487"/>
      <c r="Y171" s="488">
        <v>1.2</v>
      </c>
      <c r="Z171" s="488"/>
      <c r="AA171" s="488"/>
      <c r="AB171" s="486">
        <f t="shared" si="20"/>
        <v>1005</v>
      </c>
      <c r="AC171" s="486"/>
      <c r="AD171" s="486"/>
      <c r="AE171" s="486"/>
      <c r="AF171" s="486">
        <v>1.5</v>
      </c>
      <c r="AG171" s="486"/>
      <c r="AH171" s="486"/>
      <c r="AI171" s="486">
        <f t="shared" si="22"/>
        <v>1256.25</v>
      </c>
      <c r="AJ171" s="486"/>
      <c r="AK171" s="486"/>
      <c r="AL171" s="486"/>
      <c r="AM171" s="486"/>
      <c r="AN171" s="486"/>
      <c r="AO171" s="60"/>
      <c r="AV171" s="323"/>
    </row>
    <row r="172" spans="2:48" ht="24" customHeight="1" x14ac:dyDescent="0.2">
      <c r="B172" s="341" t="s">
        <v>248</v>
      </c>
      <c r="C172" s="492" t="s">
        <v>316</v>
      </c>
      <c r="D172" s="492"/>
      <c r="E172" s="492" t="s">
        <v>10</v>
      </c>
      <c r="F172" s="492"/>
      <c r="G172" s="493" t="s">
        <v>372</v>
      </c>
      <c r="H172" s="493"/>
      <c r="I172" s="493"/>
      <c r="J172" s="493"/>
      <c r="K172" s="493"/>
      <c r="L172" s="493"/>
      <c r="M172" s="493"/>
      <c r="N172" s="493"/>
      <c r="O172" s="493"/>
      <c r="P172" s="493"/>
      <c r="Q172" s="493"/>
      <c r="R172" s="493"/>
      <c r="S172" s="493"/>
      <c r="T172" s="494" t="s">
        <v>53</v>
      </c>
      <c r="U172" s="494"/>
      <c r="V172" s="487">
        <v>125.63</v>
      </c>
      <c r="W172" s="487"/>
      <c r="X172" s="487"/>
      <c r="Y172" s="533">
        <v>5.9</v>
      </c>
      <c r="Z172" s="533"/>
      <c r="AA172" s="533"/>
      <c r="AB172" s="485">
        <f t="shared" si="20"/>
        <v>741.22</v>
      </c>
      <c r="AC172" s="485"/>
      <c r="AD172" s="485"/>
      <c r="AE172" s="485"/>
      <c r="AF172" s="485">
        <v>7.38</v>
      </c>
      <c r="AG172" s="485"/>
      <c r="AH172" s="485"/>
      <c r="AI172" s="486">
        <f t="shared" si="22"/>
        <v>927.1493999999999</v>
      </c>
      <c r="AJ172" s="486"/>
      <c r="AK172" s="486"/>
      <c r="AL172" s="486"/>
      <c r="AM172" s="486"/>
      <c r="AN172" s="486"/>
      <c r="AO172" s="60"/>
      <c r="AV172" s="323"/>
    </row>
    <row r="173" spans="2:48" ht="24" customHeight="1" x14ac:dyDescent="0.2">
      <c r="B173" s="341" t="s">
        <v>249</v>
      </c>
      <c r="C173" s="492" t="s">
        <v>323</v>
      </c>
      <c r="D173" s="492"/>
      <c r="E173" s="492" t="s">
        <v>10</v>
      </c>
      <c r="F173" s="492"/>
      <c r="G173" s="540" t="s">
        <v>373</v>
      </c>
      <c r="H173" s="540"/>
      <c r="I173" s="540"/>
      <c r="J173" s="540"/>
      <c r="K173" s="540"/>
      <c r="L173" s="540"/>
      <c r="M173" s="540"/>
      <c r="N173" s="540"/>
      <c r="O173" s="540"/>
      <c r="P173" s="540"/>
      <c r="Q173" s="540"/>
      <c r="R173" s="540"/>
      <c r="S173" s="540"/>
      <c r="T173" s="494" t="s">
        <v>152</v>
      </c>
      <c r="U173" s="494"/>
      <c r="V173" s="487">
        <v>1507.5</v>
      </c>
      <c r="W173" s="487"/>
      <c r="X173" s="487"/>
      <c r="Y173" s="533">
        <v>0.87</v>
      </c>
      <c r="Z173" s="533"/>
      <c r="AA173" s="533"/>
      <c r="AB173" s="485">
        <f t="shared" si="20"/>
        <v>1311.53</v>
      </c>
      <c r="AC173" s="485"/>
      <c r="AD173" s="485"/>
      <c r="AE173" s="485"/>
      <c r="AF173" s="485">
        <v>1.0900000000000001</v>
      </c>
      <c r="AG173" s="485"/>
      <c r="AH173" s="485"/>
      <c r="AI173" s="486">
        <f t="shared" si="22"/>
        <v>1643.1750000000002</v>
      </c>
      <c r="AJ173" s="486"/>
      <c r="AK173" s="486"/>
      <c r="AL173" s="486"/>
      <c r="AM173" s="486"/>
      <c r="AN173" s="486"/>
      <c r="AO173" s="60"/>
      <c r="AV173" s="323"/>
    </row>
    <row r="174" spans="2:48" ht="24" customHeight="1" x14ac:dyDescent="0.2">
      <c r="B174" s="341" t="s">
        <v>250</v>
      </c>
      <c r="C174" s="492" t="s">
        <v>229</v>
      </c>
      <c r="D174" s="492"/>
      <c r="E174" s="541" t="s">
        <v>385</v>
      </c>
      <c r="F174" s="541"/>
      <c r="G174" s="493" t="s">
        <v>374</v>
      </c>
      <c r="H174" s="493"/>
      <c r="I174" s="493"/>
      <c r="J174" s="493"/>
      <c r="K174" s="493"/>
      <c r="L174" s="493"/>
      <c r="M174" s="493"/>
      <c r="N174" s="493"/>
      <c r="O174" s="493"/>
      <c r="P174" s="493"/>
      <c r="Q174" s="493"/>
      <c r="R174" s="493"/>
      <c r="S174" s="493"/>
      <c r="T174" s="494" t="s">
        <v>53</v>
      </c>
      <c r="U174" s="494"/>
      <c r="V174" s="487">
        <v>125.63</v>
      </c>
      <c r="W174" s="487"/>
      <c r="X174" s="487"/>
      <c r="Y174" s="533">
        <v>10</v>
      </c>
      <c r="Z174" s="533"/>
      <c r="AA174" s="533"/>
      <c r="AB174" s="485">
        <f t="shared" si="20"/>
        <v>1256.3</v>
      </c>
      <c r="AC174" s="485"/>
      <c r="AD174" s="485"/>
      <c r="AE174" s="485"/>
      <c r="AF174" s="485">
        <v>12.51</v>
      </c>
      <c r="AG174" s="485"/>
      <c r="AH174" s="485"/>
      <c r="AI174" s="486">
        <f t="shared" si="22"/>
        <v>1571.6313</v>
      </c>
      <c r="AJ174" s="486"/>
      <c r="AK174" s="486"/>
      <c r="AL174" s="486"/>
      <c r="AM174" s="486"/>
      <c r="AN174" s="486"/>
      <c r="AO174" s="60"/>
      <c r="AV174" s="323"/>
    </row>
    <row r="175" spans="2:48" ht="24" customHeight="1" x14ac:dyDescent="0.2">
      <c r="B175" s="342">
        <v>3</v>
      </c>
      <c r="C175" s="513"/>
      <c r="D175" s="514"/>
      <c r="E175" s="513"/>
      <c r="F175" s="514"/>
      <c r="G175" s="529" t="s">
        <v>64</v>
      </c>
      <c r="H175" s="529"/>
      <c r="I175" s="529"/>
      <c r="J175" s="529"/>
      <c r="K175" s="529"/>
      <c r="L175" s="529"/>
      <c r="M175" s="529"/>
      <c r="N175" s="529"/>
      <c r="O175" s="529"/>
      <c r="P175" s="529"/>
      <c r="Q175" s="529"/>
      <c r="R175" s="529"/>
      <c r="S175" s="529"/>
      <c r="T175" s="494"/>
      <c r="U175" s="494"/>
      <c r="V175" s="487"/>
      <c r="W175" s="487"/>
      <c r="X175" s="487"/>
      <c r="Y175" s="533"/>
      <c r="Z175" s="533"/>
      <c r="AA175" s="533"/>
      <c r="AB175" s="485" t="str">
        <f t="shared" si="20"/>
        <v/>
      </c>
      <c r="AC175" s="485"/>
      <c r="AD175" s="485"/>
      <c r="AE175" s="485"/>
      <c r="AF175" s="485" t="str">
        <f>IF(T175="","",ROUND(Y175*(1+$AJ$18),2))</f>
        <v/>
      </c>
      <c r="AG175" s="485"/>
      <c r="AH175" s="485"/>
      <c r="AI175" s="507">
        <f>SUM(AI176:AI177)</f>
        <v>6134.2120999999997</v>
      </c>
      <c r="AJ175" s="507"/>
      <c r="AK175" s="507"/>
      <c r="AL175" s="507"/>
      <c r="AM175" s="507"/>
      <c r="AN175" s="507"/>
      <c r="AO175" s="60"/>
      <c r="AV175" s="323"/>
    </row>
    <row r="176" spans="2:48" ht="24" customHeight="1" x14ac:dyDescent="0.2">
      <c r="B176" s="341" t="s">
        <v>4</v>
      </c>
      <c r="C176" s="492" t="s">
        <v>317</v>
      </c>
      <c r="D176" s="492"/>
      <c r="E176" s="492" t="s">
        <v>10</v>
      </c>
      <c r="F176" s="492"/>
      <c r="G176" s="493" t="s">
        <v>386</v>
      </c>
      <c r="H176" s="493"/>
      <c r="I176" s="493"/>
      <c r="J176" s="493"/>
      <c r="K176" s="493"/>
      <c r="L176" s="493"/>
      <c r="M176" s="493"/>
      <c r="N176" s="493"/>
      <c r="O176" s="493"/>
      <c r="P176" s="493"/>
      <c r="Q176" s="493"/>
      <c r="R176" s="493"/>
      <c r="S176" s="493"/>
      <c r="T176" s="494" t="s">
        <v>12</v>
      </c>
      <c r="U176" s="494"/>
      <c r="V176" s="487">
        <v>837.5</v>
      </c>
      <c r="W176" s="487"/>
      <c r="X176" s="487"/>
      <c r="Y176" s="533">
        <v>5.47</v>
      </c>
      <c r="Z176" s="533"/>
      <c r="AA176" s="533"/>
      <c r="AB176" s="485">
        <f t="shared" si="20"/>
        <v>4581.13</v>
      </c>
      <c r="AC176" s="485"/>
      <c r="AD176" s="485"/>
      <c r="AE176" s="485"/>
      <c r="AF176" s="485">
        <v>6.84</v>
      </c>
      <c r="AG176" s="485"/>
      <c r="AH176" s="485"/>
      <c r="AI176" s="485">
        <f>AF176*V176</f>
        <v>5728.5</v>
      </c>
      <c r="AJ176" s="485"/>
      <c r="AK176" s="485"/>
      <c r="AL176" s="485"/>
      <c r="AM176" s="485"/>
      <c r="AN176" s="485"/>
      <c r="AO176" s="60"/>
      <c r="AV176" s="323"/>
    </row>
    <row r="177" spans="2:48" ht="24" customHeight="1" x14ac:dyDescent="0.2">
      <c r="B177" s="341" t="s">
        <v>251</v>
      </c>
      <c r="C177" s="492" t="s">
        <v>136</v>
      </c>
      <c r="D177" s="492"/>
      <c r="E177" s="492" t="s">
        <v>10</v>
      </c>
      <c r="F177" s="492"/>
      <c r="G177" s="493" t="s">
        <v>375</v>
      </c>
      <c r="H177" s="493"/>
      <c r="I177" s="493"/>
      <c r="J177" s="493"/>
      <c r="K177" s="493"/>
      <c r="L177" s="493"/>
      <c r="M177" s="493"/>
      <c r="N177" s="493"/>
      <c r="O177" s="493"/>
      <c r="P177" s="493"/>
      <c r="Q177" s="493"/>
      <c r="R177" s="493"/>
      <c r="S177" s="493"/>
      <c r="T177" s="494" t="s">
        <v>65</v>
      </c>
      <c r="U177" s="494"/>
      <c r="V177" s="487">
        <v>555.77</v>
      </c>
      <c r="W177" s="487"/>
      <c r="X177" s="487"/>
      <c r="Y177" s="533">
        <v>0.57999999999999996</v>
      </c>
      <c r="Z177" s="533"/>
      <c r="AA177" s="533"/>
      <c r="AB177" s="536">
        <f t="shared" si="20"/>
        <v>322.35000000000002</v>
      </c>
      <c r="AC177" s="537"/>
      <c r="AD177" s="537"/>
      <c r="AE177" s="538"/>
      <c r="AF177" s="536">
        <v>0.73</v>
      </c>
      <c r="AG177" s="537"/>
      <c r="AH177" s="537"/>
      <c r="AI177" s="485">
        <f>AF177*V177</f>
        <v>405.71209999999996</v>
      </c>
      <c r="AJ177" s="485"/>
      <c r="AK177" s="485"/>
      <c r="AL177" s="485"/>
      <c r="AM177" s="485"/>
      <c r="AN177" s="485"/>
      <c r="AO177" s="60"/>
      <c r="AV177" s="323"/>
    </row>
    <row r="178" spans="2:48" ht="24" customHeight="1" x14ac:dyDescent="0.2">
      <c r="B178" s="341"/>
      <c r="C178" s="492"/>
      <c r="D178" s="492"/>
      <c r="E178" s="492"/>
      <c r="F178" s="492"/>
      <c r="G178" s="539"/>
      <c r="H178" s="539"/>
      <c r="I178" s="539"/>
      <c r="J178" s="539"/>
      <c r="K178" s="539"/>
      <c r="L178" s="539"/>
      <c r="M178" s="539"/>
      <c r="N178" s="539"/>
      <c r="O178" s="539"/>
      <c r="P178" s="539"/>
      <c r="Q178" s="539"/>
      <c r="R178" s="539"/>
      <c r="S178" s="539"/>
      <c r="T178" s="494"/>
      <c r="U178" s="494"/>
      <c r="V178" s="487"/>
      <c r="W178" s="487"/>
      <c r="X178" s="487"/>
      <c r="Y178" s="533"/>
      <c r="Z178" s="533"/>
      <c r="AA178" s="533"/>
      <c r="AB178" s="536"/>
      <c r="AC178" s="537"/>
      <c r="AD178" s="537"/>
      <c r="AE178" s="538"/>
      <c r="AF178" s="536"/>
      <c r="AG178" s="537"/>
      <c r="AH178" s="537"/>
      <c r="AI178" s="536"/>
      <c r="AJ178" s="537"/>
      <c r="AK178" s="537"/>
      <c r="AL178" s="537"/>
      <c r="AM178" s="537"/>
      <c r="AN178" s="537"/>
      <c r="AO178" s="60"/>
      <c r="AV178" s="323"/>
    </row>
    <row r="179" spans="2:48" ht="24" customHeight="1" x14ac:dyDescent="0.2">
      <c r="B179" s="339" t="s">
        <v>54</v>
      </c>
      <c r="C179" s="492"/>
      <c r="D179" s="492"/>
      <c r="E179" s="492"/>
      <c r="F179" s="492"/>
      <c r="G179" s="529" t="s">
        <v>149</v>
      </c>
      <c r="H179" s="529"/>
      <c r="I179" s="529"/>
      <c r="J179" s="529"/>
      <c r="K179" s="529"/>
      <c r="L179" s="529"/>
      <c r="M179" s="529"/>
      <c r="N179" s="529"/>
      <c r="O179" s="529"/>
      <c r="P179" s="529"/>
      <c r="Q179" s="529"/>
      <c r="R179" s="529"/>
      <c r="S179" s="529"/>
      <c r="T179" s="494"/>
      <c r="U179" s="494"/>
      <c r="V179" s="487"/>
      <c r="W179" s="487"/>
      <c r="X179" s="487"/>
      <c r="Y179" s="488"/>
      <c r="Z179" s="488"/>
      <c r="AA179" s="488"/>
      <c r="AB179" s="486" t="str">
        <f>IF(T179="","",ROUND(V179*Y179,2))</f>
        <v/>
      </c>
      <c r="AC179" s="486"/>
      <c r="AD179" s="486"/>
      <c r="AE179" s="486"/>
      <c r="AF179" s="486" t="str">
        <f>IF(T179="","",ROUND(Y179*(1+$AJ$18),2))</f>
        <v/>
      </c>
      <c r="AG179" s="486"/>
      <c r="AH179" s="486"/>
      <c r="AI179" s="532">
        <f>SUM(AI180:AI183)</f>
        <v>31025.740570000002</v>
      </c>
      <c r="AJ179" s="532"/>
      <c r="AK179" s="532"/>
      <c r="AL179" s="532"/>
      <c r="AM179" s="532"/>
      <c r="AN179" s="532"/>
      <c r="AO179" s="60"/>
      <c r="AV179" s="323"/>
    </row>
    <row r="180" spans="2:48" ht="24" customHeight="1" x14ac:dyDescent="0.2">
      <c r="B180" s="340" t="s">
        <v>5</v>
      </c>
      <c r="C180" s="492" t="s">
        <v>150</v>
      </c>
      <c r="D180" s="492"/>
      <c r="E180" s="492" t="s">
        <v>10</v>
      </c>
      <c r="F180" s="492"/>
      <c r="G180" s="493" t="s">
        <v>376</v>
      </c>
      <c r="H180" s="493"/>
      <c r="I180" s="493"/>
      <c r="J180" s="493"/>
      <c r="K180" s="493"/>
      <c r="L180" s="493"/>
      <c r="M180" s="493"/>
      <c r="N180" s="493"/>
      <c r="O180" s="493"/>
      <c r="P180" s="493"/>
      <c r="Q180" s="493"/>
      <c r="R180" s="493"/>
      <c r="S180" s="493"/>
      <c r="T180" s="494" t="s">
        <v>12</v>
      </c>
      <c r="U180" s="494"/>
      <c r="V180" s="487">
        <v>754.1</v>
      </c>
      <c r="W180" s="487"/>
      <c r="X180" s="487"/>
      <c r="Y180" s="533">
        <v>1.55</v>
      </c>
      <c r="Z180" s="533"/>
      <c r="AA180" s="533"/>
      <c r="AB180" s="485">
        <f>V180*Y180</f>
        <v>1168.855</v>
      </c>
      <c r="AC180" s="485"/>
      <c r="AD180" s="485"/>
      <c r="AE180" s="485"/>
      <c r="AF180" s="486">
        <v>1.94</v>
      </c>
      <c r="AG180" s="486"/>
      <c r="AH180" s="486"/>
      <c r="AI180" s="485">
        <f>AF180*V180</f>
        <v>1462.954</v>
      </c>
      <c r="AJ180" s="485"/>
      <c r="AK180" s="485"/>
      <c r="AL180" s="485"/>
      <c r="AM180" s="485"/>
      <c r="AN180" s="485"/>
      <c r="AO180" s="60"/>
      <c r="AV180" s="323"/>
    </row>
    <row r="181" spans="2:48" ht="24" customHeight="1" x14ac:dyDescent="0.2">
      <c r="B181" s="340" t="s">
        <v>291</v>
      </c>
      <c r="C181" s="492" t="s">
        <v>136</v>
      </c>
      <c r="D181" s="492"/>
      <c r="E181" s="492" t="s">
        <v>10</v>
      </c>
      <c r="F181" s="492"/>
      <c r="G181" s="493" t="s">
        <v>377</v>
      </c>
      <c r="H181" s="493"/>
      <c r="I181" s="493"/>
      <c r="J181" s="493"/>
      <c r="K181" s="493"/>
      <c r="L181" s="493"/>
      <c r="M181" s="493"/>
      <c r="N181" s="493"/>
      <c r="O181" s="493"/>
      <c r="P181" s="493"/>
      <c r="Q181" s="493"/>
      <c r="R181" s="493"/>
      <c r="S181" s="493"/>
      <c r="T181" s="494" t="s">
        <v>152</v>
      </c>
      <c r="U181" s="494"/>
      <c r="V181" s="534">
        <v>208.50899999999999</v>
      </c>
      <c r="W181" s="534"/>
      <c r="X181" s="534"/>
      <c r="Y181" s="533">
        <v>0.57999999999999996</v>
      </c>
      <c r="Z181" s="533"/>
      <c r="AA181" s="533"/>
      <c r="AB181" s="485">
        <f>V181*Y181</f>
        <v>120.93521999999999</v>
      </c>
      <c r="AC181" s="485"/>
      <c r="AD181" s="485"/>
      <c r="AE181" s="485"/>
      <c r="AF181" s="486">
        <v>0.73</v>
      </c>
      <c r="AG181" s="486"/>
      <c r="AH181" s="486"/>
      <c r="AI181" s="485">
        <f>AF181*V181</f>
        <v>152.21156999999999</v>
      </c>
      <c r="AJ181" s="485"/>
      <c r="AK181" s="485"/>
      <c r="AL181" s="485"/>
      <c r="AM181" s="485"/>
      <c r="AN181" s="485"/>
      <c r="AO181" s="60"/>
      <c r="AV181" s="323"/>
    </row>
    <row r="182" spans="2:48" ht="24" customHeight="1" x14ac:dyDescent="0.2">
      <c r="B182" s="340" t="s">
        <v>292</v>
      </c>
      <c r="C182" s="492" t="s">
        <v>294</v>
      </c>
      <c r="D182" s="492"/>
      <c r="E182" s="492" t="s">
        <v>10</v>
      </c>
      <c r="F182" s="492"/>
      <c r="G182" s="493" t="s">
        <v>378</v>
      </c>
      <c r="H182" s="493"/>
      <c r="I182" s="493"/>
      <c r="J182" s="493"/>
      <c r="K182" s="493"/>
      <c r="L182" s="493"/>
      <c r="M182" s="493"/>
      <c r="N182" s="493"/>
      <c r="O182" s="493"/>
      <c r="P182" s="493"/>
      <c r="Q182" s="493"/>
      <c r="R182" s="493"/>
      <c r="S182" s="493"/>
      <c r="T182" s="494" t="s">
        <v>53</v>
      </c>
      <c r="U182" s="494"/>
      <c r="V182" s="535">
        <v>22.6</v>
      </c>
      <c r="W182" s="535"/>
      <c r="X182" s="535"/>
      <c r="Y182" s="488">
        <v>865</v>
      </c>
      <c r="Z182" s="488"/>
      <c r="AA182" s="488"/>
      <c r="AB182" s="486">
        <f>IF(T182="","",ROUND(V182*Y182,2))</f>
        <v>19549</v>
      </c>
      <c r="AC182" s="486"/>
      <c r="AD182" s="486"/>
      <c r="AE182" s="486"/>
      <c r="AF182" s="486">
        <v>1082.1300000000001</v>
      </c>
      <c r="AG182" s="486"/>
      <c r="AH182" s="486"/>
      <c r="AI182" s="485">
        <f>AF182*V182</f>
        <v>24456.138000000003</v>
      </c>
      <c r="AJ182" s="485"/>
      <c r="AK182" s="485"/>
      <c r="AL182" s="485"/>
      <c r="AM182" s="485"/>
      <c r="AN182" s="485"/>
      <c r="AO182" s="60"/>
      <c r="AV182" s="323"/>
    </row>
    <row r="183" spans="2:48" ht="24" customHeight="1" x14ac:dyDescent="0.2">
      <c r="B183" s="340" t="s">
        <v>293</v>
      </c>
      <c r="C183" s="492" t="s">
        <v>136</v>
      </c>
      <c r="D183" s="492"/>
      <c r="E183" s="492" t="s">
        <v>10</v>
      </c>
      <c r="F183" s="492"/>
      <c r="G183" s="493" t="s">
        <v>379</v>
      </c>
      <c r="H183" s="493"/>
      <c r="I183" s="493"/>
      <c r="J183" s="493"/>
      <c r="K183" s="493"/>
      <c r="L183" s="493"/>
      <c r="M183" s="493"/>
      <c r="N183" s="493"/>
      <c r="O183" s="493"/>
      <c r="P183" s="493"/>
      <c r="Q183" s="493"/>
      <c r="R183" s="493"/>
      <c r="S183" s="493"/>
      <c r="T183" s="494" t="s">
        <v>152</v>
      </c>
      <c r="U183" s="494"/>
      <c r="V183" s="487">
        <v>6786.9</v>
      </c>
      <c r="W183" s="487"/>
      <c r="X183" s="487"/>
      <c r="Y183" s="533">
        <v>0.57999999999999996</v>
      </c>
      <c r="Z183" s="533"/>
      <c r="AA183" s="533"/>
      <c r="AB183" s="485">
        <f>IF(T183="","",ROUND(V183*Y183,2))</f>
        <v>3936.4</v>
      </c>
      <c r="AC183" s="485"/>
      <c r="AD183" s="485"/>
      <c r="AE183" s="485"/>
      <c r="AF183" s="485">
        <v>0.73</v>
      </c>
      <c r="AG183" s="485"/>
      <c r="AH183" s="485"/>
      <c r="AI183" s="485">
        <f>AF183*V183</f>
        <v>4954.4369999999999</v>
      </c>
      <c r="AJ183" s="485"/>
      <c r="AK183" s="485"/>
      <c r="AL183" s="485"/>
      <c r="AM183" s="485"/>
      <c r="AN183" s="485"/>
      <c r="AO183" s="60"/>
      <c r="AV183" s="323"/>
    </row>
    <row r="184" spans="2:48" ht="24" customHeight="1" x14ac:dyDescent="0.2">
      <c r="B184" s="340"/>
      <c r="C184" s="492"/>
      <c r="D184" s="492"/>
      <c r="E184" s="492"/>
      <c r="F184" s="492"/>
      <c r="G184" s="493"/>
      <c r="H184" s="493"/>
      <c r="I184" s="493"/>
      <c r="J184" s="493"/>
      <c r="K184" s="493"/>
      <c r="L184" s="493"/>
      <c r="M184" s="493"/>
      <c r="N184" s="493"/>
      <c r="O184" s="493"/>
      <c r="P184" s="493"/>
      <c r="Q184" s="493"/>
      <c r="R184" s="493"/>
      <c r="S184" s="493"/>
      <c r="T184" s="494"/>
      <c r="U184" s="494"/>
      <c r="V184" s="487"/>
      <c r="W184" s="487"/>
      <c r="X184" s="487"/>
      <c r="Y184" s="533"/>
      <c r="Z184" s="533"/>
      <c r="AA184" s="533"/>
      <c r="AB184" s="485"/>
      <c r="AC184" s="485"/>
      <c r="AD184" s="485"/>
      <c r="AE184" s="485"/>
      <c r="AF184" s="485"/>
      <c r="AG184" s="485"/>
      <c r="AH184" s="485"/>
      <c r="AI184" s="485"/>
      <c r="AJ184" s="485"/>
      <c r="AK184" s="485"/>
      <c r="AL184" s="485"/>
      <c r="AM184" s="485"/>
      <c r="AN184" s="485"/>
      <c r="AO184" s="60"/>
      <c r="AV184" s="323"/>
    </row>
    <row r="185" spans="2:48" ht="24" customHeight="1" x14ac:dyDescent="0.2">
      <c r="B185" s="339" t="s">
        <v>56</v>
      </c>
      <c r="C185" s="492"/>
      <c r="D185" s="492"/>
      <c r="E185" s="492"/>
      <c r="F185" s="492"/>
      <c r="G185" s="529" t="s">
        <v>55</v>
      </c>
      <c r="H185" s="529"/>
      <c r="I185" s="529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494"/>
      <c r="U185" s="494"/>
      <c r="V185" s="487"/>
      <c r="W185" s="487"/>
      <c r="X185" s="487"/>
      <c r="Y185" s="488"/>
      <c r="Z185" s="488"/>
      <c r="AA185" s="488"/>
      <c r="AB185" s="486" t="str">
        <f>IF(T185="","",ROUND(V185*Y185,2))</f>
        <v/>
      </c>
      <c r="AC185" s="486"/>
      <c r="AD185" s="486"/>
      <c r="AE185" s="486"/>
      <c r="AF185" s="486" t="str">
        <f t="shared" ref="AF185:AF187" si="23">IF(T185="","",ROUND(Y185*(1+$AJ$18),2))</f>
        <v/>
      </c>
      <c r="AG185" s="486"/>
      <c r="AH185" s="486"/>
      <c r="AI185" s="532">
        <f>AI186</f>
        <v>10127.539999999999</v>
      </c>
      <c r="AJ185" s="532"/>
      <c r="AK185" s="532"/>
      <c r="AL185" s="532"/>
      <c r="AM185" s="532"/>
      <c r="AN185" s="532"/>
      <c r="AO185" s="60"/>
      <c r="AV185" s="323"/>
    </row>
    <row r="186" spans="2:48" ht="24" customHeight="1" x14ac:dyDescent="0.2">
      <c r="B186" s="340" t="s">
        <v>252</v>
      </c>
      <c r="C186" s="492" t="s">
        <v>259</v>
      </c>
      <c r="D186" s="492"/>
      <c r="E186" s="492" t="s">
        <v>10</v>
      </c>
      <c r="F186" s="492"/>
      <c r="G186" s="493" t="s">
        <v>380</v>
      </c>
      <c r="H186" s="493"/>
      <c r="I186" s="493"/>
      <c r="J186" s="493"/>
      <c r="K186" s="493"/>
      <c r="L186" s="493"/>
      <c r="M186" s="493"/>
      <c r="N186" s="493"/>
      <c r="O186" s="493"/>
      <c r="P186" s="493"/>
      <c r="Q186" s="493"/>
      <c r="R186" s="493"/>
      <c r="S186" s="493"/>
      <c r="T186" s="494" t="s">
        <v>11</v>
      </c>
      <c r="U186" s="494"/>
      <c r="V186" s="487">
        <v>278</v>
      </c>
      <c r="W186" s="487"/>
      <c r="X186" s="487"/>
      <c r="Y186" s="488">
        <v>29.12</v>
      </c>
      <c r="Z186" s="488"/>
      <c r="AA186" s="488"/>
      <c r="AB186" s="485">
        <f>IF(T186="","",ROUND(V186*Y186,2))</f>
        <v>8095.36</v>
      </c>
      <c r="AC186" s="485"/>
      <c r="AD186" s="485"/>
      <c r="AE186" s="485"/>
      <c r="AF186" s="486">
        <v>36.43</v>
      </c>
      <c r="AG186" s="486"/>
      <c r="AH186" s="486"/>
      <c r="AI186" s="486">
        <f>V186*AF186</f>
        <v>10127.539999999999</v>
      </c>
      <c r="AJ186" s="486"/>
      <c r="AK186" s="486"/>
      <c r="AL186" s="486"/>
      <c r="AM186" s="486"/>
      <c r="AN186" s="486"/>
      <c r="AO186" s="60"/>
      <c r="AV186" s="323"/>
    </row>
    <row r="187" spans="2:48" ht="24" customHeight="1" x14ac:dyDescent="0.2">
      <c r="B187" s="342">
        <v>6</v>
      </c>
      <c r="C187" s="513"/>
      <c r="D187" s="514"/>
      <c r="E187" s="513"/>
      <c r="F187" s="514"/>
      <c r="G187" s="529" t="s">
        <v>68</v>
      </c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494"/>
      <c r="U187" s="494"/>
      <c r="V187" s="520"/>
      <c r="W187" s="521"/>
      <c r="X187" s="522"/>
      <c r="Y187" s="530"/>
      <c r="Z187" s="530"/>
      <c r="AA187" s="530"/>
      <c r="AB187" s="485"/>
      <c r="AC187" s="485"/>
      <c r="AD187" s="485"/>
      <c r="AE187" s="485"/>
      <c r="AF187" s="486" t="str">
        <f t="shared" si="23"/>
        <v/>
      </c>
      <c r="AG187" s="486"/>
      <c r="AH187" s="486"/>
      <c r="AI187" s="531">
        <f>AI188+AI189+AI190</f>
        <v>12165.625</v>
      </c>
      <c r="AJ187" s="507"/>
      <c r="AK187" s="507"/>
      <c r="AL187" s="507"/>
      <c r="AM187" s="507"/>
      <c r="AN187" s="507"/>
      <c r="AO187" s="60"/>
      <c r="AV187" s="323"/>
    </row>
    <row r="188" spans="2:48" ht="24" customHeight="1" x14ac:dyDescent="0.2">
      <c r="B188" s="341" t="s">
        <v>253</v>
      </c>
      <c r="C188" s="492" t="s">
        <v>325</v>
      </c>
      <c r="D188" s="492"/>
      <c r="E188" s="492" t="s">
        <v>10</v>
      </c>
      <c r="F188" s="492"/>
      <c r="G188" s="493" t="s">
        <v>381</v>
      </c>
      <c r="H188" s="493"/>
      <c r="I188" s="493"/>
      <c r="J188" s="493"/>
      <c r="K188" s="493"/>
      <c r="L188" s="493"/>
      <c r="M188" s="493"/>
      <c r="N188" s="493"/>
      <c r="O188" s="493"/>
      <c r="P188" s="493"/>
      <c r="Q188" s="493"/>
      <c r="R188" s="493"/>
      <c r="S188" s="493"/>
      <c r="T188" s="494" t="s">
        <v>53</v>
      </c>
      <c r="U188" s="494"/>
      <c r="V188" s="487">
        <v>19.18</v>
      </c>
      <c r="W188" s="487"/>
      <c r="X188" s="487"/>
      <c r="Y188" s="484">
        <v>462.88</v>
      </c>
      <c r="Z188" s="484"/>
      <c r="AA188" s="484"/>
      <c r="AB188" s="485">
        <f>V188*Y188</f>
        <v>8878.0383999999995</v>
      </c>
      <c r="AC188" s="485"/>
      <c r="AD188" s="485"/>
      <c r="AE188" s="485"/>
      <c r="AF188" s="486">
        <v>579.07000000000005</v>
      </c>
      <c r="AG188" s="486"/>
      <c r="AH188" s="486"/>
      <c r="AI188" s="485">
        <f>V188*AF188</f>
        <v>11106.562600000001</v>
      </c>
      <c r="AJ188" s="485"/>
      <c r="AK188" s="485"/>
      <c r="AL188" s="485"/>
      <c r="AM188" s="485"/>
      <c r="AN188" s="485"/>
      <c r="AO188" s="60"/>
      <c r="AV188" s="323"/>
    </row>
    <row r="189" spans="2:48" ht="24" customHeight="1" x14ac:dyDescent="0.2">
      <c r="B189" s="438" t="s">
        <v>254</v>
      </c>
      <c r="C189" s="513" t="s">
        <v>243</v>
      </c>
      <c r="D189" s="514"/>
      <c r="E189" s="513" t="s">
        <v>10</v>
      </c>
      <c r="F189" s="514"/>
      <c r="G189" s="515" t="s">
        <v>437</v>
      </c>
      <c r="H189" s="516"/>
      <c r="I189" s="516"/>
      <c r="J189" s="516"/>
      <c r="K189" s="516"/>
      <c r="L189" s="516"/>
      <c r="M189" s="516"/>
      <c r="N189" s="516"/>
      <c r="O189" s="516"/>
      <c r="P189" s="516"/>
      <c r="Q189" s="516"/>
      <c r="R189" s="516"/>
      <c r="S189" s="517"/>
      <c r="T189" s="518" t="s">
        <v>12</v>
      </c>
      <c r="U189" s="519"/>
      <c r="V189" s="520">
        <v>29.76</v>
      </c>
      <c r="W189" s="521"/>
      <c r="X189" s="522"/>
      <c r="Y189" s="523">
        <v>10.86</v>
      </c>
      <c r="Z189" s="524"/>
      <c r="AA189" s="525"/>
      <c r="AB189" s="485">
        <f>V189*Y189</f>
        <v>323.1936</v>
      </c>
      <c r="AC189" s="485"/>
      <c r="AD189" s="485"/>
      <c r="AE189" s="485"/>
      <c r="AF189" s="486">
        <v>13.59</v>
      </c>
      <c r="AG189" s="486"/>
      <c r="AH189" s="486"/>
      <c r="AI189" s="485">
        <f>V189*AF189</f>
        <v>404.4384</v>
      </c>
      <c r="AJ189" s="485"/>
      <c r="AK189" s="485"/>
      <c r="AL189" s="485"/>
      <c r="AM189" s="485"/>
      <c r="AN189" s="485"/>
      <c r="AO189" s="60"/>
      <c r="AV189" s="323"/>
    </row>
    <row r="190" spans="2:48" ht="24" customHeight="1" x14ac:dyDescent="0.2">
      <c r="B190" s="438" t="s">
        <v>423</v>
      </c>
      <c r="C190" s="513">
        <v>38135</v>
      </c>
      <c r="D190" s="514"/>
      <c r="E190" s="526" t="s">
        <v>318</v>
      </c>
      <c r="F190" s="527"/>
      <c r="G190" s="509" t="s">
        <v>438</v>
      </c>
      <c r="H190" s="510"/>
      <c r="I190" s="510"/>
      <c r="J190" s="510"/>
      <c r="K190" s="510"/>
      <c r="L190" s="510"/>
      <c r="M190" s="510"/>
      <c r="N190" s="510"/>
      <c r="O190" s="510"/>
      <c r="P190" s="510"/>
      <c r="Q190" s="510"/>
      <c r="R190" s="510"/>
      <c r="S190" s="511"/>
      <c r="T190" s="526" t="s">
        <v>12</v>
      </c>
      <c r="U190" s="527"/>
      <c r="V190" s="520">
        <v>14.4</v>
      </c>
      <c r="W190" s="521"/>
      <c r="X190" s="522"/>
      <c r="Y190" s="526">
        <f>Y157</f>
        <v>36.340000000000003</v>
      </c>
      <c r="Z190" s="528"/>
      <c r="AA190" s="527"/>
      <c r="AB190" s="485">
        <f>V190*Y190</f>
        <v>523.29600000000005</v>
      </c>
      <c r="AC190" s="485"/>
      <c r="AD190" s="485"/>
      <c r="AE190" s="485"/>
      <c r="AF190" s="486">
        <v>45.46</v>
      </c>
      <c r="AG190" s="486"/>
      <c r="AH190" s="486"/>
      <c r="AI190" s="485">
        <f>V190*AF190</f>
        <v>654.62400000000002</v>
      </c>
      <c r="AJ190" s="485"/>
      <c r="AK190" s="485"/>
      <c r="AL190" s="485"/>
      <c r="AM190" s="485"/>
      <c r="AN190" s="485"/>
      <c r="AO190" s="60"/>
      <c r="AV190" s="323"/>
    </row>
    <row r="191" spans="2:48" ht="24" customHeight="1" x14ac:dyDescent="0.2">
      <c r="B191" s="344" t="s">
        <v>134</v>
      </c>
      <c r="C191" s="485"/>
      <c r="D191" s="485"/>
      <c r="E191" s="485"/>
      <c r="F191" s="485"/>
      <c r="G191" s="495" t="s">
        <v>131</v>
      </c>
      <c r="H191" s="496"/>
      <c r="I191" s="496"/>
      <c r="J191" s="496"/>
      <c r="K191" s="496"/>
      <c r="L191" s="496"/>
      <c r="M191" s="496"/>
      <c r="N191" s="496"/>
      <c r="O191" s="496"/>
      <c r="P191" s="496"/>
      <c r="Q191" s="496"/>
      <c r="R191" s="496"/>
      <c r="S191" s="497"/>
      <c r="T191" s="485"/>
      <c r="U191" s="485"/>
      <c r="V191" s="485"/>
      <c r="W191" s="485"/>
      <c r="X191" s="485"/>
      <c r="Y191" s="485"/>
      <c r="Z191" s="485"/>
      <c r="AA191" s="485"/>
      <c r="AB191" s="485"/>
      <c r="AC191" s="485"/>
      <c r="AD191" s="485"/>
      <c r="AE191" s="485"/>
      <c r="AF191" s="486"/>
      <c r="AG191" s="486"/>
      <c r="AH191" s="486"/>
      <c r="AI191" s="507">
        <f>SUM(AI192:AI196)</f>
        <v>1614.6288</v>
      </c>
      <c r="AJ191" s="507"/>
      <c r="AK191" s="507"/>
      <c r="AL191" s="507"/>
      <c r="AM191" s="507"/>
      <c r="AN191" s="507"/>
      <c r="AO191" s="60"/>
      <c r="AV191" s="323"/>
    </row>
    <row r="192" spans="2:48" ht="24" customHeight="1" x14ac:dyDescent="0.2">
      <c r="B192" s="343" t="s">
        <v>255</v>
      </c>
      <c r="C192" s="508">
        <v>72947</v>
      </c>
      <c r="D192" s="508"/>
      <c r="E192" s="485" t="s">
        <v>10</v>
      </c>
      <c r="F192" s="485"/>
      <c r="G192" s="509" t="s">
        <v>382</v>
      </c>
      <c r="H192" s="510"/>
      <c r="I192" s="510"/>
      <c r="J192" s="510"/>
      <c r="K192" s="510"/>
      <c r="L192" s="510"/>
      <c r="M192" s="510"/>
      <c r="N192" s="510"/>
      <c r="O192" s="510"/>
      <c r="P192" s="510"/>
      <c r="Q192" s="510"/>
      <c r="R192" s="510"/>
      <c r="S192" s="511"/>
      <c r="T192" s="485" t="s">
        <v>89</v>
      </c>
      <c r="U192" s="485"/>
      <c r="V192" s="512">
        <v>44.16</v>
      </c>
      <c r="W192" s="508"/>
      <c r="X192" s="508"/>
      <c r="Y192" s="485">
        <v>20.73</v>
      </c>
      <c r="Z192" s="485"/>
      <c r="AA192" s="485"/>
      <c r="AB192" s="485">
        <f>V192*Y192</f>
        <v>915.43679999999995</v>
      </c>
      <c r="AC192" s="485"/>
      <c r="AD192" s="485"/>
      <c r="AE192" s="485"/>
      <c r="AF192" s="486">
        <v>25.93</v>
      </c>
      <c r="AG192" s="486"/>
      <c r="AH192" s="486"/>
      <c r="AI192" s="485">
        <f>V192*AF192</f>
        <v>1145.0688</v>
      </c>
      <c r="AJ192" s="485"/>
      <c r="AK192" s="485"/>
      <c r="AL192" s="485"/>
      <c r="AM192" s="485"/>
      <c r="AN192" s="485"/>
      <c r="AO192" s="60"/>
      <c r="AV192" s="323"/>
    </row>
    <row r="193" spans="2:51" ht="24" customHeight="1" x14ac:dyDescent="0.2">
      <c r="B193" s="340" t="s">
        <v>256</v>
      </c>
      <c r="C193" s="492" t="s">
        <v>180</v>
      </c>
      <c r="D193" s="492"/>
      <c r="E193" s="492" t="s">
        <v>146</v>
      </c>
      <c r="F193" s="492"/>
      <c r="G193" s="493" t="s">
        <v>383</v>
      </c>
      <c r="H193" s="493"/>
      <c r="I193" s="493"/>
      <c r="J193" s="493"/>
      <c r="K193" s="493"/>
      <c r="L193" s="493"/>
      <c r="M193" s="493"/>
      <c r="N193" s="493"/>
      <c r="O193" s="493"/>
      <c r="P193" s="493"/>
      <c r="Q193" s="493"/>
      <c r="R193" s="493"/>
      <c r="S193" s="493"/>
      <c r="T193" s="494" t="s">
        <v>89</v>
      </c>
      <c r="U193" s="494"/>
      <c r="V193" s="487">
        <f>'MEMÓRIA DE CÁLCULO'!D303+'MEMÓRIA DE CÁLCULO'!D302</f>
        <v>0</v>
      </c>
      <c r="W193" s="487"/>
      <c r="X193" s="487"/>
      <c r="Y193" s="488">
        <f>Y160</f>
        <v>307.91000000000003</v>
      </c>
      <c r="Z193" s="488"/>
      <c r="AA193" s="488"/>
      <c r="AB193" s="486">
        <f>IF(T193="","",ROUND(V193*Y193,2))</f>
        <v>0</v>
      </c>
      <c r="AC193" s="486"/>
      <c r="AD193" s="486"/>
      <c r="AE193" s="486"/>
      <c r="AF193" s="485">
        <v>385.2</v>
      </c>
      <c r="AG193" s="485"/>
      <c r="AH193" s="485"/>
      <c r="AI193" s="485">
        <f>V193*AF193</f>
        <v>0</v>
      </c>
      <c r="AJ193" s="485"/>
      <c r="AK193" s="485"/>
      <c r="AL193" s="485"/>
      <c r="AM193" s="485"/>
      <c r="AN193" s="485"/>
      <c r="AO193" s="60"/>
      <c r="AV193" s="323"/>
    </row>
    <row r="194" spans="2:51" ht="24" customHeight="1" x14ac:dyDescent="0.2">
      <c r="B194" s="340" t="s">
        <v>135</v>
      </c>
      <c r="C194" s="492" t="s">
        <v>179</v>
      </c>
      <c r="D194" s="492"/>
      <c r="E194" s="492" t="s">
        <v>146</v>
      </c>
      <c r="F194" s="492"/>
      <c r="G194" s="493" t="s">
        <v>388</v>
      </c>
      <c r="H194" s="493"/>
      <c r="I194" s="493"/>
      <c r="J194" s="493"/>
      <c r="K194" s="493"/>
      <c r="L194" s="493"/>
      <c r="M194" s="493"/>
      <c r="N194" s="493"/>
      <c r="O194" s="493"/>
      <c r="P194" s="493"/>
      <c r="Q194" s="493"/>
      <c r="R194" s="493"/>
      <c r="S194" s="493"/>
      <c r="T194" s="494" t="s">
        <v>133</v>
      </c>
      <c r="U194" s="494"/>
      <c r="V194" s="487">
        <v>0</v>
      </c>
      <c r="W194" s="487"/>
      <c r="X194" s="487"/>
      <c r="Y194" s="488">
        <f>Y161</f>
        <v>91.53</v>
      </c>
      <c r="Z194" s="488"/>
      <c r="AA194" s="488"/>
      <c r="AB194" s="486">
        <f>IF(T194="","",ROUND(V194*Y194,2))</f>
        <v>0</v>
      </c>
      <c r="AC194" s="486"/>
      <c r="AD194" s="486"/>
      <c r="AE194" s="486"/>
      <c r="AF194" s="485">
        <v>114.51</v>
      </c>
      <c r="AG194" s="485"/>
      <c r="AH194" s="485"/>
      <c r="AI194" s="485">
        <f>V194*AF194</f>
        <v>0</v>
      </c>
      <c r="AJ194" s="485"/>
      <c r="AK194" s="485"/>
      <c r="AL194" s="485"/>
      <c r="AM194" s="485"/>
      <c r="AN194" s="485"/>
      <c r="AO194" s="60"/>
      <c r="AV194" s="323"/>
    </row>
    <row r="195" spans="2:51" ht="24" customHeight="1" x14ac:dyDescent="0.2">
      <c r="B195" s="340" t="s">
        <v>257</v>
      </c>
      <c r="C195" s="492" t="s">
        <v>132</v>
      </c>
      <c r="D195" s="492"/>
      <c r="E195" s="492" t="s">
        <v>10</v>
      </c>
      <c r="F195" s="492"/>
      <c r="G195" s="493" t="s">
        <v>387</v>
      </c>
      <c r="H195" s="493"/>
      <c r="I195" s="493"/>
      <c r="J195" s="493"/>
      <c r="K195" s="493"/>
      <c r="L195" s="493"/>
      <c r="M195" s="493"/>
      <c r="N195" s="493"/>
      <c r="O195" s="493"/>
      <c r="P195" s="493"/>
      <c r="Q195" s="493"/>
      <c r="R195" s="493"/>
      <c r="S195" s="493"/>
      <c r="T195" s="494" t="s">
        <v>133</v>
      </c>
      <c r="U195" s="494"/>
      <c r="V195" s="487">
        <v>2</v>
      </c>
      <c r="W195" s="487"/>
      <c r="X195" s="487"/>
      <c r="Y195" s="488">
        <v>96.14</v>
      </c>
      <c r="Z195" s="488"/>
      <c r="AA195" s="488"/>
      <c r="AB195" s="486">
        <f>IF(T195="","",ROUND(V195*Y195,2))</f>
        <v>192.28</v>
      </c>
      <c r="AC195" s="486"/>
      <c r="AD195" s="486"/>
      <c r="AE195" s="486"/>
      <c r="AF195" s="485">
        <v>120.27</v>
      </c>
      <c r="AG195" s="485"/>
      <c r="AH195" s="485"/>
      <c r="AI195" s="485">
        <f>V195*AF195</f>
        <v>240.54</v>
      </c>
      <c r="AJ195" s="485"/>
      <c r="AK195" s="485"/>
      <c r="AL195" s="485"/>
      <c r="AM195" s="485"/>
      <c r="AN195" s="485"/>
      <c r="AO195" s="60"/>
      <c r="AV195" s="323"/>
    </row>
    <row r="196" spans="2:51" ht="24" customHeight="1" x14ac:dyDescent="0.2">
      <c r="B196" s="340" t="s">
        <v>258</v>
      </c>
      <c r="C196" s="492" t="s">
        <v>151</v>
      </c>
      <c r="D196" s="492"/>
      <c r="E196" s="492" t="s">
        <v>146</v>
      </c>
      <c r="F196" s="492"/>
      <c r="G196" s="493" t="s">
        <v>384</v>
      </c>
      <c r="H196" s="493"/>
      <c r="I196" s="493"/>
      <c r="J196" s="493"/>
      <c r="K196" s="493"/>
      <c r="L196" s="493"/>
      <c r="M196" s="493"/>
      <c r="N196" s="493"/>
      <c r="O196" s="493"/>
      <c r="P196" s="493"/>
      <c r="Q196" s="493"/>
      <c r="R196" s="493"/>
      <c r="S196" s="493"/>
      <c r="T196" s="494" t="s">
        <v>133</v>
      </c>
      <c r="U196" s="494"/>
      <c r="V196" s="487">
        <v>2</v>
      </c>
      <c r="W196" s="487"/>
      <c r="X196" s="487"/>
      <c r="Y196" s="488">
        <f>Y194</f>
        <v>91.53</v>
      </c>
      <c r="Z196" s="488"/>
      <c r="AA196" s="488"/>
      <c r="AB196" s="486">
        <f>IF(T196="","",ROUND(V196*Y196,2))</f>
        <v>183.06</v>
      </c>
      <c r="AC196" s="486"/>
      <c r="AD196" s="486"/>
      <c r="AE196" s="486"/>
      <c r="AF196" s="485">
        <v>114.51</v>
      </c>
      <c r="AG196" s="485"/>
      <c r="AH196" s="485"/>
      <c r="AI196" s="485">
        <f>V196*AF196</f>
        <v>229.02</v>
      </c>
      <c r="AJ196" s="485"/>
      <c r="AK196" s="485"/>
      <c r="AL196" s="485"/>
      <c r="AM196" s="485"/>
      <c r="AN196" s="485"/>
      <c r="AO196" s="60"/>
      <c r="AV196" s="323"/>
    </row>
    <row r="197" spans="2:51" ht="24" customHeight="1" x14ac:dyDescent="0.2">
      <c r="B197" s="489" t="s">
        <v>404</v>
      </c>
      <c r="C197" s="490"/>
      <c r="D197" s="490"/>
      <c r="E197" s="490"/>
      <c r="F197" s="490"/>
      <c r="G197" s="490"/>
      <c r="H197" s="490"/>
      <c r="I197" s="490"/>
      <c r="J197" s="490"/>
      <c r="K197" s="490"/>
      <c r="L197" s="490"/>
      <c r="M197" s="490"/>
      <c r="N197" s="490"/>
      <c r="O197" s="490"/>
      <c r="P197" s="490"/>
      <c r="Q197" s="490"/>
      <c r="R197" s="490"/>
      <c r="S197" s="490"/>
      <c r="T197" s="490"/>
      <c r="U197" s="491"/>
      <c r="V197" s="487"/>
      <c r="W197" s="487"/>
      <c r="X197" s="487"/>
      <c r="Y197" s="488"/>
      <c r="Z197" s="488"/>
      <c r="AA197" s="488"/>
      <c r="AB197" s="486">
        <f>SUM(AB31:AB196)</f>
        <v>404251.05693999998</v>
      </c>
      <c r="AC197" s="486"/>
      <c r="AD197" s="486"/>
      <c r="AE197" s="486"/>
      <c r="AF197" s="485"/>
      <c r="AG197" s="485"/>
      <c r="AH197" s="485"/>
      <c r="AI197" s="486">
        <f>AI165+AI132+AI98+AI65+AI32+AI30</f>
        <v>505940.62888999999</v>
      </c>
      <c r="AJ197" s="486"/>
      <c r="AK197" s="486"/>
      <c r="AL197" s="486"/>
      <c r="AM197" s="486"/>
      <c r="AN197" s="486"/>
      <c r="AO197" s="60">
        <v>505993.33</v>
      </c>
      <c r="AV197" s="323"/>
    </row>
    <row r="198" spans="2:51" ht="12" customHeight="1" x14ac:dyDescent="0.2">
      <c r="B198" s="12"/>
      <c r="C198" s="12"/>
      <c r="D198" s="12"/>
      <c r="E198" s="12"/>
      <c r="F198" s="558" t="s">
        <v>57</v>
      </c>
      <c r="G198" s="558"/>
      <c r="H198" s="558"/>
      <c r="I198" s="558"/>
      <c r="J198" s="558"/>
      <c r="K198" s="558"/>
      <c r="L198" s="558"/>
      <c r="M198" s="558"/>
      <c r="N198" s="558"/>
      <c r="O198" s="558"/>
      <c r="P198" s="558"/>
      <c r="Q198" s="558"/>
      <c r="R198" s="558"/>
      <c r="S198" s="558"/>
      <c r="T198" s="558"/>
      <c r="U198" s="558"/>
      <c r="V198" s="558"/>
      <c r="W198" s="558"/>
      <c r="X198" s="558"/>
      <c r="Y198" s="558"/>
      <c r="Z198" s="558"/>
      <c r="AA198" s="558"/>
      <c r="AB198" s="558"/>
      <c r="AC198" s="558"/>
      <c r="AD198" s="558"/>
      <c r="AE198" s="558"/>
      <c r="AF198" s="558"/>
      <c r="AG198" s="558"/>
      <c r="AH198" s="558"/>
      <c r="AI198" s="558"/>
      <c r="AJ198" s="558"/>
      <c r="AK198" s="558"/>
      <c r="AL198" s="558"/>
      <c r="AM198" s="558"/>
    </row>
    <row r="199" spans="2:51" ht="12" customHeight="1" x14ac:dyDescent="0.2">
      <c r="B199" s="12"/>
      <c r="C199" s="12"/>
      <c r="D199" s="12"/>
      <c r="E199" s="12"/>
      <c r="F199" s="558"/>
      <c r="G199" s="558"/>
      <c r="H199" s="558"/>
      <c r="I199" s="558"/>
      <c r="J199" s="558"/>
      <c r="K199" s="558"/>
      <c r="L199" s="558"/>
      <c r="M199" s="558"/>
      <c r="N199" s="558"/>
      <c r="O199" s="558"/>
      <c r="P199" s="558"/>
      <c r="Q199" s="558"/>
      <c r="R199" s="558"/>
      <c r="S199" s="558"/>
      <c r="T199" s="558"/>
      <c r="U199" s="558"/>
      <c r="V199" s="558"/>
      <c r="W199" s="558"/>
      <c r="X199" s="558"/>
      <c r="Y199" s="558"/>
      <c r="Z199" s="558"/>
      <c r="AA199" s="558"/>
      <c r="AB199" s="558"/>
      <c r="AC199" s="558"/>
      <c r="AD199" s="558"/>
      <c r="AE199" s="558"/>
      <c r="AF199" s="558"/>
      <c r="AG199" s="558"/>
      <c r="AH199" s="558"/>
      <c r="AI199" s="558"/>
      <c r="AJ199" s="558"/>
      <c r="AK199" s="558"/>
      <c r="AL199" s="558"/>
      <c r="AM199" s="558"/>
    </row>
    <row r="200" spans="2:51" ht="12" customHeight="1" x14ac:dyDescent="0.2">
      <c r="B200" s="12"/>
      <c r="C200" s="12"/>
      <c r="D200" s="12"/>
      <c r="E200" s="12"/>
      <c r="F200" s="558"/>
      <c r="G200" s="558"/>
      <c r="H200" s="558"/>
      <c r="I200" s="558"/>
      <c r="J200" s="558"/>
      <c r="K200" s="558"/>
      <c r="L200" s="558"/>
      <c r="M200" s="558"/>
      <c r="N200" s="558"/>
      <c r="O200" s="558"/>
      <c r="P200" s="558"/>
      <c r="Q200" s="558"/>
      <c r="R200" s="558"/>
      <c r="S200" s="558"/>
      <c r="T200" s="558"/>
      <c r="U200" s="558"/>
      <c r="V200" s="558"/>
      <c r="W200" s="558"/>
      <c r="X200" s="558"/>
      <c r="Y200" s="558"/>
      <c r="Z200" s="558"/>
      <c r="AA200" s="558"/>
      <c r="AB200" s="558"/>
      <c r="AC200" s="558"/>
      <c r="AD200" s="558"/>
      <c r="AE200" s="558"/>
      <c r="AF200" s="558"/>
      <c r="AG200" s="558"/>
      <c r="AH200" s="558"/>
      <c r="AI200" s="558"/>
      <c r="AJ200" s="558"/>
      <c r="AK200" s="558"/>
      <c r="AL200" s="558"/>
      <c r="AM200" s="558"/>
      <c r="AW200" s="556" t="e">
        <f>#REF!+#REF!+#REF!+#REF!+#REF!+#REF!+#REF!</f>
        <v>#REF!</v>
      </c>
      <c r="AX200" s="557"/>
      <c r="AY200" s="557"/>
    </row>
    <row r="201" spans="2:51" ht="12" customHeight="1" x14ac:dyDescent="0.2">
      <c r="B201" s="12"/>
      <c r="C201" s="12"/>
      <c r="D201" s="12"/>
      <c r="E201" s="12"/>
      <c r="F201" s="558"/>
      <c r="G201" s="558"/>
      <c r="H201" s="558"/>
      <c r="I201" s="558"/>
      <c r="J201" s="558"/>
      <c r="K201" s="558"/>
      <c r="L201" s="558"/>
      <c r="M201" s="558"/>
      <c r="N201" s="558"/>
      <c r="O201" s="558"/>
      <c r="P201" s="558"/>
      <c r="Q201" s="558"/>
      <c r="R201" s="558"/>
      <c r="S201" s="558"/>
      <c r="T201" s="558"/>
      <c r="U201" s="558"/>
      <c r="V201" s="558"/>
      <c r="W201" s="558"/>
      <c r="X201" s="558"/>
      <c r="Y201" s="558"/>
      <c r="Z201" s="558"/>
      <c r="AA201" s="558"/>
      <c r="AB201" s="558"/>
      <c r="AC201" s="558"/>
      <c r="AD201" s="558"/>
      <c r="AE201" s="558"/>
      <c r="AF201" s="558"/>
      <c r="AG201" s="558"/>
      <c r="AH201" s="558"/>
      <c r="AI201" s="558"/>
      <c r="AJ201" s="558"/>
      <c r="AK201" s="558"/>
      <c r="AL201" s="558"/>
      <c r="AM201" s="558"/>
      <c r="AW201" s="560" t="e">
        <f>AW200/#REF!</f>
        <v>#REF!</v>
      </c>
      <c r="AX201" s="557"/>
      <c r="AY201" s="557"/>
    </row>
    <row r="202" spans="2:51" ht="12" customHeight="1" x14ac:dyDescent="0.2">
      <c r="B202" s="632" t="s">
        <v>283</v>
      </c>
      <c r="C202" s="632"/>
      <c r="D202" s="632"/>
      <c r="E202" s="632"/>
      <c r="F202" s="632"/>
      <c r="G202" s="632"/>
      <c r="H202" s="632"/>
      <c r="I202" s="12"/>
      <c r="J202" s="12"/>
      <c r="K202" s="12"/>
      <c r="AO202" s="300">
        <f>E203</f>
        <v>1896.93</v>
      </c>
    </row>
    <row r="203" spans="2:51" ht="12" customHeight="1" x14ac:dyDescent="0.2">
      <c r="B203" s="504" t="s">
        <v>284</v>
      </c>
      <c r="C203" s="505"/>
      <c r="D203" s="506"/>
      <c r="E203" s="501">
        <f>AI30</f>
        <v>1896.93</v>
      </c>
      <c r="F203" s="502"/>
      <c r="G203" s="502"/>
      <c r="H203" s="503"/>
      <c r="I203" s="12"/>
      <c r="J203" s="12"/>
      <c r="K203" s="12"/>
      <c r="AO203" s="300">
        <f>E204</f>
        <v>136993.26605000001</v>
      </c>
      <c r="AV203" s="305"/>
    </row>
    <row r="204" spans="2:51" ht="12" customHeight="1" x14ac:dyDescent="0.2">
      <c r="B204" s="504" t="s">
        <v>329</v>
      </c>
      <c r="C204" s="505"/>
      <c r="D204" s="506"/>
      <c r="E204" s="501">
        <f>AI32</f>
        <v>136993.26605000001</v>
      </c>
      <c r="F204" s="502"/>
      <c r="G204" s="502"/>
      <c r="H204" s="503"/>
      <c r="I204" s="12"/>
      <c r="J204" s="12"/>
      <c r="K204" s="12"/>
      <c r="AO204" s="300" t="e">
        <f>#REF!</f>
        <v>#REF!</v>
      </c>
      <c r="AV204" s="296"/>
    </row>
    <row r="205" spans="2:51" ht="30.75" customHeight="1" x14ac:dyDescent="0.2">
      <c r="B205" s="498" t="s">
        <v>330</v>
      </c>
      <c r="C205" s="499"/>
      <c r="D205" s="500"/>
      <c r="E205" s="501">
        <f>AO65</f>
        <v>105078.33627999999</v>
      </c>
      <c r="F205" s="502"/>
      <c r="G205" s="502"/>
      <c r="H205" s="503"/>
      <c r="I205" s="12"/>
      <c r="J205" s="12"/>
      <c r="K205" s="12"/>
      <c r="AO205" s="300"/>
      <c r="AV205" s="323"/>
    </row>
    <row r="206" spans="2:51" ht="12" customHeight="1" x14ac:dyDescent="0.2">
      <c r="B206" s="504" t="s">
        <v>391</v>
      </c>
      <c r="C206" s="505"/>
      <c r="D206" s="506"/>
      <c r="E206" s="501">
        <f>AI98</f>
        <v>111959.2528</v>
      </c>
      <c r="F206" s="502"/>
      <c r="G206" s="502"/>
      <c r="H206" s="503"/>
      <c r="I206" s="12"/>
      <c r="J206" s="12"/>
      <c r="K206" s="12"/>
      <c r="P206" s="318"/>
      <c r="AO206" s="300">
        <f>E208</f>
        <v>67712.606870000018</v>
      </c>
      <c r="AV206" s="305"/>
    </row>
    <row r="207" spans="2:51" ht="12" customHeight="1" x14ac:dyDescent="0.2">
      <c r="B207" s="504" t="s">
        <v>313</v>
      </c>
      <c r="C207" s="505"/>
      <c r="D207" s="506"/>
      <c r="E207" s="501">
        <f>AI132</f>
        <v>82300.23689</v>
      </c>
      <c r="F207" s="502"/>
      <c r="G207" s="502"/>
      <c r="H207" s="503"/>
      <c r="I207" s="12"/>
      <c r="J207" s="12"/>
      <c r="K207" s="12"/>
      <c r="P207" s="318"/>
      <c r="AO207" s="300"/>
      <c r="AV207" s="323"/>
    </row>
    <row r="208" spans="2:51" ht="12" customHeight="1" x14ac:dyDescent="0.2">
      <c r="B208" s="498" t="s">
        <v>390</v>
      </c>
      <c r="C208" s="499"/>
      <c r="D208" s="500"/>
      <c r="E208" s="631">
        <f>AI165</f>
        <v>67712.606870000018</v>
      </c>
      <c r="F208" s="632"/>
      <c r="G208" s="632"/>
      <c r="H208" s="632"/>
      <c r="I208" s="12"/>
      <c r="J208" s="12"/>
      <c r="K208" s="12"/>
      <c r="Y208" s="317"/>
      <c r="AO208" s="300" t="e">
        <f>#REF!</f>
        <v>#REF!</v>
      </c>
      <c r="AV208" s="296"/>
    </row>
    <row r="209" spans="1:48" ht="12" customHeight="1" x14ac:dyDescent="0.2">
      <c r="B209" s="630" t="s">
        <v>2</v>
      </c>
      <c r="C209" s="630"/>
      <c r="D209" s="630"/>
      <c r="E209" s="631">
        <f>SUM(E203:E208)</f>
        <v>505940.62888999999</v>
      </c>
      <c r="F209" s="632"/>
      <c r="G209" s="632"/>
      <c r="H209" s="632"/>
      <c r="I209" s="12"/>
      <c r="J209" s="12"/>
      <c r="K209" s="12"/>
      <c r="AC209" s="560"/>
      <c r="AD209" s="557"/>
      <c r="AE209" s="557"/>
      <c r="AF209" s="557"/>
      <c r="AG209" s="557"/>
      <c r="AO209" s="300"/>
    </row>
    <row r="210" spans="1:48" ht="48" customHeight="1" x14ac:dyDescent="0.2">
      <c r="B210" s="12"/>
      <c r="C210" s="12"/>
      <c r="D210" s="12"/>
      <c r="E210" s="12"/>
      <c r="F210" s="12" t="s">
        <v>58</v>
      </c>
      <c r="G210" s="12"/>
      <c r="H210" s="12"/>
      <c r="I210" s="12"/>
      <c r="J210" s="12"/>
      <c r="K210" s="561" t="s">
        <v>228</v>
      </c>
      <c r="L210" s="557"/>
      <c r="M210" s="557"/>
      <c r="N210" s="557"/>
      <c r="O210" s="557"/>
      <c r="P210" s="557"/>
      <c r="Q210" s="557"/>
      <c r="R210" s="557"/>
      <c r="S210" s="557"/>
      <c r="T210" s="557"/>
      <c r="U210" s="557"/>
      <c r="V210" s="557"/>
      <c r="W210" s="12" t="s">
        <v>66</v>
      </c>
      <c r="AA210" s="561"/>
      <c r="AB210" s="561"/>
      <c r="AC210" s="561"/>
      <c r="AD210" s="561"/>
      <c r="AE210" s="561"/>
      <c r="AF210" s="561"/>
      <c r="AG210" s="561"/>
      <c r="AH210" s="561"/>
      <c r="AI210" s="561"/>
      <c r="AJ210" s="561"/>
      <c r="AK210" s="561"/>
      <c r="AL210" s="561"/>
      <c r="AM210" s="561"/>
      <c r="AN210" s="561"/>
      <c r="AO210" s="300"/>
    </row>
    <row r="211" spans="1:48" ht="12" customHeight="1" x14ac:dyDescent="0.2">
      <c r="B211" s="12"/>
      <c r="C211" s="12"/>
      <c r="D211" s="300"/>
      <c r="E211" s="12"/>
      <c r="F211" s="12"/>
      <c r="G211" s="12"/>
      <c r="H211" s="12"/>
      <c r="I211" s="12"/>
      <c r="J211" s="12"/>
      <c r="K211" s="12"/>
    </row>
    <row r="212" spans="1:48" ht="19.5" customHeight="1" x14ac:dyDescent="0.2">
      <c r="B212" s="12"/>
      <c r="C212" s="12"/>
      <c r="D212" s="12"/>
      <c r="E212" s="12"/>
      <c r="J212" s="12"/>
      <c r="K212" s="12"/>
      <c r="M212" s="557" t="s">
        <v>402</v>
      </c>
      <c r="N212" s="557"/>
      <c r="O212" s="557"/>
      <c r="P212" s="557"/>
      <c r="Q212" s="557"/>
      <c r="R212" s="557"/>
      <c r="S212" s="557"/>
      <c r="T212" s="557"/>
      <c r="U212" s="557"/>
      <c r="V212" s="557"/>
      <c r="W212" s="557"/>
      <c r="X212" s="557"/>
      <c r="Y212" s="557"/>
      <c r="Z212" s="557"/>
      <c r="AA212" s="557"/>
      <c r="AB212" s="557"/>
      <c r="AC212" s="557"/>
      <c r="AD212" s="557"/>
      <c r="AE212" s="12" t="s">
        <v>403</v>
      </c>
    </row>
    <row r="213" spans="1:48" ht="12" customHeight="1" x14ac:dyDescent="0.2"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48" ht="12" customHeight="1" x14ac:dyDescent="0.2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Y214" s="559"/>
      <c r="Z214" s="559"/>
      <c r="AA214" s="559"/>
      <c r="AO214" s="300"/>
    </row>
    <row r="215" spans="1:48" ht="12" customHeight="1" x14ac:dyDescent="0.2">
      <c r="B215" s="12"/>
      <c r="C215" s="12"/>
      <c r="D215" s="12"/>
      <c r="E215" s="12"/>
      <c r="F215" s="300"/>
      <c r="G215" s="12"/>
      <c r="H215" s="12"/>
      <c r="I215" s="12"/>
      <c r="J215" s="12"/>
      <c r="K215" s="12"/>
      <c r="M215" s="557"/>
      <c r="N215" s="557"/>
      <c r="O215" s="557"/>
      <c r="P215" s="557"/>
      <c r="Q215" s="557"/>
      <c r="R215" s="557"/>
      <c r="S215" s="557"/>
      <c r="T215" s="557"/>
      <c r="U215" s="557"/>
      <c r="V215" s="557"/>
      <c r="W215" s="557"/>
      <c r="X215" s="557"/>
      <c r="Y215" s="559"/>
      <c r="Z215" s="559"/>
      <c r="AA215" s="559"/>
    </row>
    <row r="216" spans="1:48" ht="12" customHeight="1" x14ac:dyDescent="0.2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Y216" s="556"/>
      <c r="Z216" s="557"/>
      <c r="AA216" s="557"/>
    </row>
    <row r="217" spans="1:48" ht="12" customHeight="1" x14ac:dyDescent="0.2"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48" ht="12" customHeight="1" x14ac:dyDescent="0.2"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48" ht="12" customHeight="1" x14ac:dyDescent="0.2"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48" ht="12" customHeight="1" x14ac:dyDescent="0.2"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48" ht="12" customHeight="1" x14ac:dyDescent="0.2"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48" s="14" customForma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V222" s="28"/>
    </row>
    <row r="223" spans="1:48" ht="12" customHeight="1" x14ac:dyDescent="0.2">
      <c r="B223" s="12"/>
      <c r="C223" s="12"/>
      <c r="D223" s="12"/>
      <c r="E223" s="12"/>
      <c r="F223" s="12"/>
      <c r="G223" s="12"/>
      <c r="H223" s="12"/>
      <c r="I223" s="12"/>
      <c r="J223" s="12"/>
      <c r="K223" s="12"/>
    </row>
    <row r="224" spans="1:48" ht="12" customHeight="1" x14ac:dyDescent="0.2">
      <c r="B224" s="12"/>
      <c r="C224" s="12"/>
      <c r="D224" s="12"/>
      <c r="E224" s="12"/>
      <c r="F224" s="12"/>
      <c r="G224" s="12"/>
      <c r="H224" s="12"/>
      <c r="I224" s="12"/>
      <c r="J224" s="12"/>
      <c r="K224" s="12"/>
    </row>
    <row r="225" spans="2:11" ht="12" customHeight="1" x14ac:dyDescent="0.2">
      <c r="B225" s="12"/>
      <c r="C225" s="12"/>
      <c r="D225" s="12"/>
      <c r="E225" s="12"/>
      <c r="F225" s="12"/>
      <c r="G225" s="12"/>
      <c r="H225" s="12"/>
      <c r="I225" s="12"/>
      <c r="J225" s="12"/>
      <c r="K225" s="12"/>
    </row>
    <row r="226" spans="2:11" x14ac:dyDescent="0.2">
      <c r="B226" s="12"/>
      <c r="C226" s="12"/>
      <c r="D226" s="12"/>
      <c r="E226" s="12"/>
      <c r="F226" s="12"/>
      <c r="G226" s="12"/>
      <c r="H226" s="12"/>
      <c r="I226" s="12"/>
      <c r="J226" s="12"/>
      <c r="K226" s="12"/>
    </row>
    <row r="227" spans="2:11" ht="6" customHeight="1" x14ac:dyDescent="0.2">
      <c r="B227" s="12"/>
      <c r="C227" s="12"/>
      <c r="D227" s="12"/>
      <c r="E227" s="12"/>
      <c r="F227" s="12"/>
      <c r="G227" s="12"/>
      <c r="H227" s="12"/>
      <c r="I227" s="12"/>
      <c r="J227" s="12"/>
      <c r="K227" s="12"/>
    </row>
    <row r="228" spans="2:11" ht="12" customHeight="1" x14ac:dyDescent="0.2">
      <c r="B228" s="12"/>
      <c r="C228" s="12"/>
      <c r="D228" s="12"/>
      <c r="E228" s="12"/>
      <c r="F228" s="12"/>
      <c r="G228" s="12"/>
      <c r="H228" s="12"/>
      <c r="I228" s="12"/>
      <c r="J228" s="12"/>
      <c r="K228" s="12"/>
    </row>
    <row r="229" spans="2:11" ht="6" customHeight="1" x14ac:dyDescent="0.2">
      <c r="B229" s="12"/>
      <c r="C229" s="12"/>
      <c r="D229" s="12"/>
      <c r="E229" s="12"/>
      <c r="F229" s="12"/>
      <c r="G229" s="12"/>
      <c r="H229" s="12"/>
      <c r="I229" s="12"/>
      <c r="J229" s="12"/>
      <c r="K229" s="12"/>
    </row>
    <row r="230" spans="2:11" ht="12" customHeight="1" x14ac:dyDescent="0.2">
      <c r="B230" s="12"/>
      <c r="C230" s="12"/>
      <c r="D230" s="12"/>
      <c r="E230" s="12"/>
      <c r="F230" s="12"/>
      <c r="G230" s="12"/>
      <c r="H230" s="12"/>
      <c r="I230" s="12"/>
      <c r="J230" s="12"/>
      <c r="K230" s="12"/>
    </row>
    <row r="231" spans="2:11" ht="6" customHeight="1" x14ac:dyDescent="0.2">
      <c r="B231" s="12"/>
      <c r="C231" s="12"/>
      <c r="D231" s="12"/>
      <c r="E231" s="12"/>
      <c r="F231" s="12"/>
      <c r="G231" s="12"/>
      <c r="H231" s="12"/>
      <c r="I231" s="12"/>
      <c r="J231" s="12"/>
      <c r="K231" s="12"/>
    </row>
    <row r="232" spans="2:11" ht="12" customHeight="1" x14ac:dyDescent="0.2">
      <c r="B232" s="12"/>
      <c r="C232" s="12"/>
      <c r="D232" s="12"/>
      <c r="E232" s="12"/>
      <c r="F232" s="12"/>
      <c r="G232" s="12"/>
      <c r="H232" s="12"/>
      <c r="I232" s="12"/>
      <c r="J232" s="12"/>
      <c r="K232" s="12"/>
    </row>
    <row r="233" spans="2:11" ht="12" customHeight="1" x14ac:dyDescent="0.2">
      <c r="B233" s="12"/>
      <c r="C233" s="12"/>
      <c r="D233" s="12"/>
      <c r="E233" s="12"/>
      <c r="F233" s="12"/>
      <c r="G233" s="12"/>
      <c r="H233" s="12"/>
      <c r="I233" s="12"/>
      <c r="J233" s="12"/>
      <c r="K233" s="12"/>
    </row>
    <row r="234" spans="2:11" ht="12" customHeight="1" x14ac:dyDescent="0.2">
      <c r="B234" s="12"/>
      <c r="C234" s="12"/>
      <c r="D234" s="12"/>
      <c r="E234" s="12"/>
      <c r="F234" s="12"/>
      <c r="G234" s="12"/>
      <c r="H234" s="12"/>
      <c r="I234" s="12"/>
      <c r="J234" s="12"/>
      <c r="K234" s="12"/>
    </row>
    <row r="235" spans="2:11" ht="12" customHeight="1" x14ac:dyDescent="0.2">
      <c r="B235" s="12"/>
      <c r="C235" s="12"/>
      <c r="D235" s="12"/>
      <c r="E235" s="12"/>
      <c r="F235" s="12"/>
      <c r="G235" s="12"/>
      <c r="H235" s="12"/>
      <c r="I235" s="12"/>
      <c r="J235" s="12"/>
      <c r="K235" s="12"/>
    </row>
    <row r="236" spans="2:11" ht="12" customHeight="1" x14ac:dyDescent="0.2">
      <c r="B236" s="12"/>
      <c r="C236" s="12"/>
      <c r="D236" s="12"/>
      <c r="E236" s="12"/>
      <c r="F236" s="12"/>
      <c r="G236" s="12"/>
      <c r="H236" s="12"/>
      <c r="I236" s="12"/>
      <c r="J236" s="12"/>
      <c r="K236" s="12"/>
    </row>
    <row r="237" spans="2:11" ht="12" customHeight="1" x14ac:dyDescent="0.2">
      <c r="B237" s="12"/>
      <c r="C237" s="12"/>
      <c r="D237" s="12"/>
      <c r="E237" s="12"/>
      <c r="F237" s="12"/>
      <c r="G237" s="12"/>
      <c r="H237" s="12"/>
      <c r="I237" s="12"/>
      <c r="J237" s="12"/>
      <c r="K237" s="12"/>
    </row>
    <row r="238" spans="2:11" ht="12" customHeight="1" x14ac:dyDescent="0.2">
      <c r="B238" s="12"/>
      <c r="C238" s="12"/>
      <c r="D238" s="12"/>
      <c r="E238" s="12"/>
      <c r="F238" s="12"/>
      <c r="G238" s="12"/>
      <c r="H238" s="12"/>
      <c r="I238" s="12"/>
      <c r="J238" s="12"/>
      <c r="K238" s="12"/>
    </row>
    <row r="239" spans="2:11" ht="12" customHeight="1" x14ac:dyDescent="0.2">
      <c r="B239" s="12"/>
      <c r="C239" s="12"/>
      <c r="D239" s="12"/>
      <c r="E239" s="12"/>
      <c r="F239" s="12"/>
      <c r="G239" s="12"/>
      <c r="H239" s="12"/>
      <c r="I239" s="12"/>
      <c r="J239" s="12"/>
      <c r="K239" s="12"/>
    </row>
    <row r="240" spans="2:11" ht="12" customHeight="1" x14ac:dyDescent="0.2">
      <c r="B240" s="12"/>
      <c r="C240" s="12"/>
      <c r="D240" s="12"/>
      <c r="E240" s="12"/>
      <c r="F240" s="12"/>
      <c r="G240" s="12"/>
      <c r="H240" s="12"/>
      <c r="I240" s="12"/>
      <c r="J240" s="12"/>
      <c r="K240" s="12"/>
    </row>
    <row r="241" spans="2:11" ht="12" customHeight="1" x14ac:dyDescent="0.2">
      <c r="B241" s="12"/>
      <c r="C241" s="12"/>
      <c r="D241" s="12"/>
      <c r="E241" s="12"/>
      <c r="F241" s="12"/>
      <c r="G241" s="12"/>
      <c r="H241" s="12"/>
      <c r="I241" s="12"/>
      <c r="J241" s="12"/>
      <c r="K241" s="12"/>
    </row>
    <row r="242" spans="2:11" ht="12" customHeight="1" x14ac:dyDescent="0.2">
      <c r="B242" s="12"/>
      <c r="C242" s="12"/>
      <c r="D242" s="12"/>
      <c r="E242" s="12"/>
      <c r="F242" s="12"/>
      <c r="G242" s="12"/>
      <c r="H242" s="12"/>
      <c r="I242" s="12"/>
      <c r="J242" s="12"/>
      <c r="K242" s="12"/>
    </row>
    <row r="243" spans="2:11" ht="12" customHeight="1" x14ac:dyDescent="0.2">
      <c r="B243" s="12"/>
      <c r="C243" s="12"/>
      <c r="D243" s="12"/>
      <c r="E243" s="12"/>
      <c r="F243" s="12"/>
      <c r="G243" s="12"/>
      <c r="H243" s="12"/>
      <c r="I243" s="12"/>
      <c r="J243" s="12"/>
      <c r="K243" s="12"/>
    </row>
    <row r="244" spans="2:11" ht="12" customHeight="1" x14ac:dyDescent="0.2">
      <c r="B244" s="12"/>
      <c r="C244" s="12"/>
      <c r="D244" s="12"/>
      <c r="E244" s="12"/>
      <c r="F244" s="12"/>
      <c r="G244" s="12"/>
      <c r="H244" s="12"/>
      <c r="I244" s="12"/>
      <c r="J244" s="12"/>
      <c r="K244" s="12"/>
    </row>
    <row r="245" spans="2:11" ht="12" customHeight="1" x14ac:dyDescent="0.2">
      <c r="B245" s="12"/>
      <c r="C245" s="12"/>
      <c r="D245" s="12"/>
      <c r="E245" s="12"/>
      <c r="F245" s="12"/>
      <c r="G245" s="12"/>
      <c r="H245" s="12"/>
      <c r="I245" s="12"/>
      <c r="J245" s="12"/>
      <c r="K245" s="12"/>
    </row>
    <row r="246" spans="2:11" ht="12" customHeight="1" x14ac:dyDescent="0.2">
      <c r="B246" s="12"/>
      <c r="C246" s="12"/>
      <c r="D246" s="12"/>
      <c r="E246" s="12"/>
      <c r="F246" s="12"/>
      <c r="G246" s="12"/>
      <c r="H246" s="12"/>
      <c r="I246" s="12"/>
      <c r="J246" s="12"/>
      <c r="K246" s="12"/>
    </row>
    <row r="247" spans="2:11" ht="12" customHeight="1" x14ac:dyDescent="0.2">
      <c r="B247" s="12"/>
      <c r="C247" s="12"/>
      <c r="D247" s="12"/>
      <c r="E247" s="12"/>
      <c r="F247" s="12"/>
      <c r="G247" s="12"/>
      <c r="H247" s="12"/>
      <c r="I247" s="12"/>
      <c r="J247" s="12"/>
      <c r="K247" s="12"/>
    </row>
    <row r="248" spans="2:11" ht="12" customHeight="1" x14ac:dyDescent="0.2">
      <c r="B248" s="12"/>
      <c r="C248" s="12"/>
      <c r="D248" s="12"/>
      <c r="E248" s="12"/>
      <c r="F248" s="12"/>
      <c r="G248" s="12"/>
      <c r="H248" s="12"/>
      <c r="I248" s="12"/>
      <c r="J248" s="12"/>
      <c r="K248" s="12"/>
    </row>
    <row r="249" spans="2:11" ht="12" customHeight="1" x14ac:dyDescent="0.2">
      <c r="B249" s="12"/>
      <c r="C249" s="12"/>
      <c r="D249" s="12"/>
      <c r="E249" s="12"/>
      <c r="F249" s="12"/>
      <c r="G249" s="12"/>
      <c r="H249" s="12"/>
      <c r="I249" s="12"/>
      <c r="J249" s="12"/>
      <c r="K249" s="12"/>
    </row>
    <row r="250" spans="2:11" ht="12" customHeight="1" x14ac:dyDescent="0.2">
      <c r="B250" s="12"/>
      <c r="C250" s="12"/>
      <c r="D250" s="12"/>
      <c r="E250" s="12"/>
      <c r="F250" s="12"/>
      <c r="G250" s="12"/>
      <c r="H250" s="12"/>
      <c r="I250" s="12"/>
      <c r="J250" s="12"/>
      <c r="K250" s="12"/>
    </row>
    <row r="251" spans="2:11" ht="12" customHeight="1" x14ac:dyDescent="0.2">
      <c r="B251" s="12"/>
      <c r="C251" s="12"/>
      <c r="D251" s="12"/>
      <c r="E251" s="12"/>
      <c r="F251" s="12"/>
      <c r="G251" s="12"/>
      <c r="H251" s="12"/>
      <c r="I251" s="12"/>
      <c r="J251" s="12"/>
      <c r="K251" s="12"/>
    </row>
    <row r="252" spans="2:11" ht="12" customHeight="1" x14ac:dyDescent="0.2">
      <c r="B252" s="12"/>
      <c r="C252" s="12"/>
      <c r="D252" s="12"/>
      <c r="E252" s="12"/>
      <c r="F252" s="12"/>
      <c r="G252" s="12"/>
      <c r="H252" s="12"/>
      <c r="I252" s="12"/>
      <c r="J252" s="12"/>
      <c r="K252" s="12"/>
    </row>
    <row r="253" spans="2:11" ht="12" customHeight="1" x14ac:dyDescent="0.2">
      <c r="B253" s="12"/>
      <c r="C253" s="12"/>
      <c r="D253" s="12"/>
      <c r="E253" s="12"/>
      <c r="F253" s="12"/>
      <c r="G253" s="12"/>
      <c r="H253" s="12"/>
      <c r="I253" s="12"/>
      <c r="J253" s="12"/>
      <c r="K253" s="12"/>
    </row>
    <row r="254" spans="2:11" ht="12" customHeight="1" x14ac:dyDescent="0.2">
      <c r="B254" s="12"/>
      <c r="C254" s="12"/>
      <c r="D254" s="12"/>
      <c r="E254" s="12"/>
      <c r="F254" s="12"/>
      <c r="G254" s="12"/>
      <c r="H254" s="12"/>
      <c r="I254" s="12"/>
      <c r="J254" s="12"/>
      <c r="K254" s="12"/>
    </row>
    <row r="255" spans="2:11" ht="12" customHeight="1" x14ac:dyDescent="0.2"/>
    <row r="256" spans="2:11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</sheetData>
  <mergeCells count="1579">
    <mergeCell ref="C93:D93"/>
    <mergeCell ref="E93:F93"/>
    <mergeCell ref="G93:S93"/>
    <mergeCell ref="T93:U93"/>
    <mergeCell ref="V93:X93"/>
    <mergeCell ref="Y93:AA93"/>
    <mergeCell ref="AB93:AE93"/>
    <mergeCell ref="AF93:AH93"/>
    <mergeCell ref="AI93:AN93"/>
    <mergeCell ref="Y90:AA90"/>
    <mergeCell ref="AB90:AE90"/>
    <mergeCell ref="AF90:AH90"/>
    <mergeCell ref="AI90:AN90"/>
    <mergeCell ref="C89:D89"/>
    <mergeCell ref="E89:F89"/>
    <mergeCell ref="G89:S89"/>
    <mergeCell ref="T89:U89"/>
    <mergeCell ref="V89:X89"/>
    <mergeCell ref="Y89:AA89"/>
    <mergeCell ref="AB89:AE89"/>
    <mergeCell ref="AF89:AH89"/>
    <mergeCell ref="AI89:AN89"/>
    <mergeCell ref="C88:D88"/>
    <mergeCell ref="C92:D92"/>
    <mergeCell ref="E92:F92"/>
    <mergeCell ref="G92:S92"/>
    <mergeCell ref="T92:U92"/>
    <mergeCell ref="V92:X92"/>
    <mergeCell ref="Y92:AA92"/>
    <mergeCell ref="AB92:AE92"/>
    <mergeCell ref="AF92:AH92"/>
    <mergeCell ref="AI92:AN92"/>
    <mergeCell ref="C91:D91"/>
    <mergeCell ref="E91:F91"/>
    <mergeCell ref="G91:S91"/>
    <mergeCell ref="T91:U91"/>
    <mergeCell ref="V91:X91"/>
    <mergeCell ref="Y91:AA91"/>
    <mergeCell ref="AB91:AE91"/>
    <mergeCell ref="AF91:AH91"/>
    <mergeCell ref="AI91:AN91"/>
    <mergeCell ref="C90:D90"/>
    <mergeCell ref="E90:F90"/>
    <mergeCell ref="G90:S90"/>
    <mergeCell ref="T90:U90"/>
    <mergeCell ref="V90:X90"/>
    <mergeCell ref="E88:F88"/>
    <mergeCell ref="G88:S88"/>
    <mergeCell ref="T88:U88"/>
    <mergeCell ref="V88:X88"/>
    <mergeCell ref="Y88:AA88"/>
    <mergeCell ref="AB88:AE88"/>
    <mergeCell ref="AF88:AH88"/>
    <mergeCell ref="AI88:AN88"/>
    <mergeCell ref="C87:D87"/>
    <mergeCell ref="E87:F87"/>
    <mergeCell ref="G87:S87"/>
    <mergeCell ref="T87:U87"/>
    <mergeCell ref="V87:X87"/>
    <mergeCell ref="Y87:AA87"/>
    <mergeCell ref="AB87:AE87"/>
    <mergeCell ref="AF87:AH87"/>
    <mergeCell ref="AI87:AN87"/>
    <mergeCell ref="C86:D86"/>
    <mergeCell ref="E86:F86"/>
    <mergeCell ref="G86:S86"/>
    <mergeCell ref="T86:U86"/>
    <mergeCell ref="V86:X86"/>
    <mergeCell ref="Y86:AA86"/>
    <mergeCell ref="AB86:AE86"/>
    <mergeCell ref="AF86:AH86"/>
    <mergeCell ref="AI86:AN86"/>
    <mergeCell ref="C85:D85"/>
    <mergeCell ref="E85:F85"/>
    <mergeCell ref="G85:S85"/>
    <mergeCell ref="T85:U85"/>
    <mergeCell ref="V85:X85"/>
    <mergeCell ref="Y85:AA85"/>
    <mergeCell ref="AB85:AE85"/>
    <mergeCell ref="AF85:AH85"/>
    <mergeCell ref="AI85:AN85"/>
    <mergeCell ref="C84:D84"/>
    <mergeCell ref="E84:F84"/>
    <mergeCell ref="G84:S84"/>
    <mergeCell ref="T84:U84"/>
    <mergeCell ref="V84:X84"/>
    <mergeCell ref="Y84:AA84"/>
    <mergeCell ref="AB84:AE84"/>
    <mergeCell ref="AF84:AH84"/>
    <mergeCell ref="AI84:AN84"/>
    <mergeCell ref="C83:D83"/>
    <mergeCell ref="E83:F83"/>
    <mergeCell ref="G83:S83"/>
    <mergeCell ref="T83:U83"/>
    <mergeCell ref="V83:X83"/>
    <mergeCell ref="Y83:AA83"/>
    <mergeCell ref="AB83:AE83"/>
    <mergeCell ref="AF83:AH83"/>
    <mergeCell ref="AI83:AN83"/>
    <mergeCell ref="C82:D82"/>
    <mergeCell ref="E82:F82"/>
    <mergeCell ref="G82:S82"/>
    <mergeCell ref="T82:U82"/>
    <mergeCell ref="V82:X82"/>
    <mergeCell ref="Y82:AA82"/>
    <mergeCell ref="AB82:AE82"/>
    <mergeCell ref="AF82:AH82"/>
    <mergeCell ref="AI82:AN82"/>
    <mergeCell ref="C81:D81"/>
    <mergeCell ref="E81:F81"/>
    <mergeCell ref="G81:S81"/>
    <mergeCell ref="T81:U81"/>
    <mergeCell ref="V81:X81"/>
    <mergeCell ref="Y81:AA81"/>
    <mergeCell ref="AB81:AE81"/>
    <mergeCell ref="AF81:AH81"/>
    <mergeCell ref="AI81:AN81"/>
    <mergeCell ref="C80:D80"/>
    <mergeCell ref="E80:F80"/>
    <mergeCell ref="G80:S80"/>
    <mergeCell ref="T80:U80"/>
    <mergeCell ref="V80:X80"/>
    <mergeCell ref="Y80:AA80"/>
    <mergeCell ref="AB80:AE80"/>
    <mergeCell ref="AF80:AH80"/>
    <mergeCell ref="AI80:AN80"/>
    <mergeCell ref="C79:D79"/>
    <mergeCell ref="E79:F79"/>
    <mergeCell ref="G79:S79"/>
    <mergeCell ref="T79:U79"/>
    <mergeCell ref="V79:X79"/>
    <mergeCell ref="Y79:AA79"/>
    <mergeCell ref="AB79:AE79"/>
    <mergeCell ref="AF79:AH79"/>
    <mergeCell ref="AI79:AN79"/>
    <mergeCell ref="C78:D78"/>
    <mergeCell ref="E78:F78"/>
    <mergeCell ref="G78:S78"/>
    <mergeCell ref="T78:U78"/>
    <mergeCell ref="V78:X78"/>
    <mergeCell ref="Y78:AA78"/>
    <mergeCell ref="AB78:AE78"/>
    <mergeCell ref="AF78:AH78"/>
    <mergeCell ref="AI78:AN78"/>
    <mergeCell ref="C77:D77"/>
    <mergeCell ref="E77:F77"/>
    <mergeCell ref="G77:S77"/>
    <mergeCell ref="T77:U77"/>
    <mergeCell ref="V77:X77"/>
    <mergeCell ref="Y77:AA77"/>
    <mergeCell ref="AB77:AE77"/>
    <mergeCell ref="AF77:AH77"/>
    <mergeCell ref="AI77:AN77"/>
    <mergeCell ref="C76:D76"/>
    <mergeCell ref="E76:F76"/>
    <mergeCell ref="G76:S76"/>
    <mergeCell ref="T76:U76"/>
    <mergeCell ref="V76:X76"/>
    <mergeCell ref="Y76:AA76"/>
    <mergeCell ref="AB76:AE76"/>
    <mergeCell ref="AF76:AH76"/>
    <mergeCell ref="AI76:AN76"/>
    <mergeCell ref="C75:D75"/>
    <mergeCell ref="E75:F75"/>
    <mergeCell ref="G75:S75"/>
    <mergeCell ref="T75:U75"/>
    <mergeCell ref="V75:X75"/>
    <mergeCell ref="Y75:AA75"/>
    <mergeCell ref="AB75:AE75"/>
    <mergeCell ref="AF75:AH75"/>
    <mergeCell ref="AI75:AN75"/>
    <mergeCell ref="C74:D74"/>
    <mergeCell ref="E74:F74"/>
    <mergeCell ref="G74:S74"/>
    <mergeCell ref="T74:U74"/>
    <mergeCell ref="V74:X74"/>
    <mergeCell ref="Y74:AA74"/>
    <mergeCell ref="AB74:AE74"/>
    <mergeCell ref="AF74:AH74"/>
    <mergeCell ref="AI74:AN74"/>
    <mergeCell ref="C73:D73"/>
    <mergeCell ref="E73:F73"/>
    <mergeCell ref="G73:S73"/>
    <mergeCell ref="T73:U73"/>
    <mergeCell ref="V73:X73"/>
    <mergeCell ref="Y73:AA73"/>
    <mergeCell ref="AB73:AE73"/>
    <mergeCell ref="AF73:AH73"/>
    <mergeCell ref="AI73:AN73"/>
    <mergeCell ref="C72:D72"/>
    <mergeCell ref="E72:F72"/>
    <mergeCell ref="G72:S72"/>
    <mergeCell ref="T72:U72"/>
    <mergeCell ref="V72:X72"/>
    <mergeCell ref="Y72:AA72"/>
    <mergeCell ref="AB72:AE72"/>
    <mergeCell ref="AF72:AH72"/>
    <mergeCell ref="AI72:AN72"/>
    <mergeCell ref="C71:D71"/>
    <mergeCell ref="E71:F71"/>
    <mergeCell ref="G71:S71"/>
    <mergeCell ref="T71:U71"/>
    <mergeCell ref="V71:X71"/>
    <mergeCell ref="Y71:AA71"/>
    <mergeCell ref="AB71:AE71"/>
    <mergeCell ref="AF71:AH71"/>
    <mergeCell ref="AI71:AN71"/>
    <mergeCell ref="C70:D70"/>
    <mergeCell ref="E70:F70"/>
    <mergeCell ref="G70:S70"/>
    <mergeCell ref="T70:U70"/>
    <mergeCell ref="V70:X70"/>
    <mergeCell ref="Y70:AA70"/>
    <mergeCell ref="AB70:AE70"/>
    <mergeCell ref="AF70:AH70"/>
    <mergeCell ref="AI70:AN70"/>
    <mergeCell ref="C69:D69"/>
    <mergeCell ref="E69:F69"/>
    <mergeCell ref="G69:S69"/>
    <mergeCell ref="T69:U69"/>
    <mergeCell ref="V69:X69"/>
    <mergeCell ref="Y69:AA69"/>
    <mergeCell ref="AB69:AE69"/>
    <mergeCell ref="AF69:AH69"/>
    <mergeCell ref="AI69:AN69"/>
    <mergeCell ref="C68:D68"/>
    <mergeCell ref="E68:F68"/>
    <mergeCell ref="G68:S68"/>
    <mergeCell ref="T68:U68"/>
    <mergeCell ref="V68:X68"/>
    <mergeCell ref="Y68:AA68"/>
    <mergeCell ref="AB68:AE68"/>
    <mergeCell ref="AF68:AH68"/>
    <mergeCell ref="AI68:AN68"/>
    <mergeCell ref="C67:D67"/>
    <mergeCell ref="E67:F67"/>
    <mergeCell ref="G67:S67"/>
    <mergeCell ref="T67:U67"/>
    <mergeCell ref="V67:X67"/>
    <mergeCell ref="Y67:AA67"/>
    <mergeCell ref="AB67:AE67"/>
    <mergeCell ref="AF67:AH67"/>
    <mergeCell ref="AI67:AN67"/>
    <mergeCell ref="C66:D66"/>
    <mergeCell ref="E66:F66"/>
    <mergeCell ref="G66:S66"/>
    <mergeCell ref="T66:U66"/>
    <mergeCell ref="V66:X66"/>
    <mergeCell ref="Y66:AA66"/>
    <mergeCell ref="AB66:AE66"/>
    <mergeCell ref="AF66:AH66"/>
    <mergeCell ref="AI66:AN66"/>
    <mergeCell ref="C65:D65"/>
    <mergeCell ref="E65:F65"/>
    <mergeCell ref="G65:S65"/>
    <mergeCell ref="T65:U65"/>
    <mergeCell ref="V65:X65"/>
    <mergeCell ref="Y65:AA65"/>
    <mergeCell ref="AB65:AE65"/>
    <mergeCell ref="AF65:AH65"/>
    <mergeCell ref="AI65:AN65"/>
    <mergeCell ref="C64:D64"/>
    <mergeCell ref="E64:F64"/>
    <mergeCell ref="G64:S64"/>
    <mergeCell ref="T64:U64"/>
    <mergeCell ref="V64:X64"/>
    <mergeCell ref="Y64:AA64"/>
    <mergeCell ref="AB64:AE64"/>
    <mergeCell ref="AF64:AH64"/>
    <mergeCell ref="AI64:AN64"/>
    <mergeCell ref="Y160:AA160"/>
    <mergeCell ref="AB160:AE160"/>
    <mergeCell ref="AF160:AH160"/>
    <mergeCell ref="AI160:AN160"/>
    <mergeCell ref="C163:D163"/>
    <mergeCell ref="E163:F163"/>
    <mergeCell ref="G163:S163"/>
    <mergeCell ref="T163:U163"/>
    <mergeCell ref="V163:X163"/>
    <mergeCell ref="Y163:AA163"/>
    <mergeCell ref="AB163:AE163"/>
    <mergeCell ref="AF163:AH163"/>
    <mergeCell ref="AI163:AN163"/>
    <mergeCell ref="C162:D162"/>
    <mergeCell ref="E162:F162"/>
    <mergeCell ref="G162:S162"/>
    <mergeCell ref="T162:U162"/>
    <mergeCell ref="V162:X162"/>
    <mergeCell ref="Y162:AA162"/>
    <mergeCell ref="AB162:AE162"/>
    <mergeCell ref="AF162:AH162"/>
    <mergeCell ref="AI162:AN162"/>
    <mergeCell ref="Y156:AA156"/>
    <mergeCell ref="AB156:AE156"/>
    <mergeCell ref="AF156:AH156"/>
    <mergeCell ref="AI156:AN156"/>
    <mergeCell ref="C159:D159"/>
    <mergeCell ref="E159:F159"/>
    <mergeCell ref="G159:S159"/>
    <mergeCell ref="T159:U159"/>
    <mergeCell ref="V159:X159"/>
    <mergeCell ref="Y159:AA159"/>
    <mergeCell ref="AB159:AE159"/>
    <mergeCell ref="AF159:AH159"/>
    <mergeCell ref="AI159:AN159"/>
    <mergeCell ref="C158:D158"/>
    <mergeCell ref="E158:F158"/>
    <mergeCell ref="G158:S158"/>
    <mergeCell ref="T158:U158"/>
    <mergeCell ref="V158:X158"/>
    <mergeCell ref="Y158:AA158"/>
    <mergeCell ref="AB158:AE158"/>
    <mergeCell ref="AF158:AH158"/>
    <mergeCell ref="AI158:AN158"/>
    <mergeCell ref="C156:D156"/>
    <mergeCell ref="E156:F156"/>
    <mergeCell ref="G156:S156"/>
    <mergeCell ref="T156:U156"/>
    <mergeCell ref="V156:X156"/>
    <mergeCell ref="C152:D152"/>
    <mergeCell ref="E152:F152"/>
    <mergeCell ref="G152:S152"/>
    <mergeCell ref="T152:U152"/>
    <mergeCell ref="V152:X152"/>
    <mergeCell ref="Y152:AA152"/>
    <mergeCell ref="AB152:AE152"/>
    <mergeCell ref="AF152:AH152"/>
    <mergeCell ref="AI152:AN152"/>
    <mergeCell ref="G96:S96"/>
    <mergeCell ref="T96:U96"/>
    <mergeCell ref="V96:X96"/>
    <mergeCell ref="Y96:AA96"/>
    <mergeCell ref="AB96:AE96"/>
    <mergeCell ref="AF96:AH96"/>
    <mergeCell ref="AI96:AN96"/>
    <mergeCell ref="C151:D151"/>
    <mergeCell ref="E151:F151"/>
    <mergeCell ref="G151:S151"/>
    <mergeCell ref="T151:U151"/>
    <mergeCell ref="C97:D97"/>
    <mergeCell ref="E97:F97"/>
    <mergeCell ref="G97:S97"/>
    <mergeCell ref="T97:U97"/>
    <mergeCell ref="T98:U98"/>
    <mergeCell ref="V98:X98"/>
    <mergeCell ref="Y98:AA98"/>
    <mergeCell ref="AB98:AE98"/>
    <mergeCell ref="AF98:AH98"/>
    <mergeCell ref="C99:D99"/>
    <mergeCell ref="E99:F99"/>
    <mergeCell ref="G99:S99"/>
    <mergeCell ref="AW200:AY200"/>
    <mergeCell ref="AW201:AY201"/>
    <mergeCell ref="B204:D204"/>
    <mergeCell ref="E204:H204"/>
    <mergeCell ref="C153:D153"/>
    <mergeCell ref="E153:F153"/>
    <mergeCell ref="G153:S153"/>
    <mergeCell ref="T153:U153"/>
    <mergeCell ref="V153:X153"/>
    <mergeCell ref="Y153:AA153"/>
    <mergeCell ref="AB153:AE153"/>
    <mergeCell ref="AF153:AH153"/>
    <mergeCell ref="AI153:AN153"/>
    <mergeCell ref="C155:D155"/>
    <mergeCell ref="E155:F155"/>
    <mergeCell ref="G155:S155"/>
    <mergeCell ref="T155:U155"/>
    <mergeCell ref="V155:X155"/>
    <mergeCell ref="Y155:AA155"/>
    <mergeCell ref="AB155:AE155"/>
    <mergeCell ref="AF155:AH155"/>
    <mergeCell ref="AI155:AN155"/>
    <mergeCell ref="C154:D154"/>
    <mergeCell ref="E154:F154"/>
    <mergeCell ref="G154:S154"/>
    <mergeCell ref="T154:U154"/>
    <mergeCell ref="V154:X154"/>
    <mergeCell ref="Y154:AA154"/>
    <mergeCell ref="AB154:AE154"/>
    <mergeCell ref="AF154:AH154"/>
    <mergeCell ref="AI154:AN154"/>
    <mergeCell ref="C165:D165"/>
    <mergeCell ref="AF94:AH94"/>
    <mergeCell ref="AI94:AN94"/>
    <mergeCell ref="C95:D95"/>
    <mergeCell ref="E95:F95"/>
    <mergeCell ref="G95:S95"/>
    <mergeCell ref="T95:U95"/>
    <mergeCell ref="V95:X95"/>
    <mergeCell ref="Y95:AA95"/>
    <mergeCell ref="AB95:AE95"/>
    <mergeCell ref="AF95:AH95"/>
    <mergeCell ref="V151:X151"/>
    <mergeCell ref="Y151:AA151"/>
    <mergeCell ref="AB151:AE151"/>
    <mergeCell ref="AF151:AH151"/>
    <mergeCell ref="AI151:AN151"/>
    <mergeCell ref="V97:X97"/>
    <mergeCell ref="Y97:AA97"/>
    <mergeCell ref="AB97:AE97"/>
    <mergeCell ref="AF97:AH97"/>
    <mergeCell ref="AI97:AN97"/>
    <mergeCell ref="C98:D98"/>
    <mergeCell ref="E98:F98"/>
    <mergeCell ref="G98:S98"/>
    <mergeCell ref="AI95:AN95"/>
    <mergeCell ref="C96:D96"/>
    <mergeCell ref="E96:F96"/>
    <mergeCell ref="AI98:AN98"/>
    <mergeCell ref="AB99:AE99"/>
    <mergeCell ref="AF99:AH99"/>
    <mergeCell ref="AI99:AN99"/>
    <mergeCell ref="C100:D100"/>
    <mergeCell ref="E100:F100"/>
    <mergeCell ref="V58:X58"/>
    <mergeCell ref="Y58:AA58"/>
    <mergeCell ref="Y60:AA60"/>
    <mergeCell ref="E60:F60"/>
    <mergeCell ref="G60:S60"/>
    <mergeCell ref="T60:U60"/>
    <mergeCell ref="V60:X60"/>
    <mergeCell ref="AB58:AE58"/>
    <mergeCell ref="B209:D209"/>
    <mergeCell ref="E209:H209"/>
    <mergeCell ref="B202:H202"/>
    <mergeCell ref="E62:F62"/>
    <mergeCell ref="G62:S62"/>
    <mergeCell ref="T62:U62"/>
    <mergeCell ref="C63:D63"/>
    <mergeCell ref="C62:D62"/>
    <mergeCell ref="E63:F63"/>
    <mergeCell ref="G63:S63"/>
    <mergeCell ref="T63:U63"/>
    <mergeCell ref="V63:X63"/>
    <mergeCell ref="V62:X62"/>
    <mergeCell ref="Y62:AA62"/>
    <mergeCell ref="AB62:AE62"/>
    <mergeCell ref="B208:D208"/>
    <mergeCell ref="E208:H208"/>
    <mergeCell ref="C94:D94"/>
    <mergeCell ref="E94:F94"/>
    <mergeCell ref="G94:S94"/>
    <mergeCell ref="T94:U94"/>
    <mergeCell ref="V94:X94"/>
    <mergeCell ref="Y94:AA94"/>
    <mergeCell ref="AB94:AE94"/>
    <mergeCell ref="C61:D61"/>
    <mergeCell ref="E61:F61"/>
    <mergeCell ref="G61:S61"/>
    <mergeCell ref="T61:U61"/>
    <mergeCell ref="V61:X61"/>
    <mergeCell ref="B206:D206"/>
    <mergeCell ref="E206:H206"/>
    <mergeCell ref="AI53:AN53"/>
    <mergeCell ref="V53:X53"/>
    <mergeCell ref="Y53:AA53"/>
    <mergeCell ref="AB53:AE53"/>
    <mergeCell ref="AF53:AH53"/>
    <mergeCell ref="AI57:AN57"/>
    <mergeCell ref="AF57:AH57"/>
    <mergeCell ref="AB57:AE57"/>
    <mergeCell ref="AF58:AH58"/>
    <mergeCell ref="AI58:AN58"/>
    <mergeCell ref="V54:X54"/>
    <mergeCell ref="AF54:AH54"/>
    <mergeCell ref="Y54:AA54"/>
    <mergeCell ref="AI54:AN54"/>
    <mergeCell ref="AB54:AE54"/>
    <mergeCell ref="AB55:AE55"/>
    <mergeCell ref="AF55:AH55"/>
    <mergeCell ref="AI55:AN55"/>
    <mergeCell ref="Y61:AA61"/>
    <mergeCell ref="C58:D58"/>
    <mergeCell ref="C59:D59"/>
    <mergeCell ref="C60:D60"/>
    <mergeCell ref="E58:F58"/>
    <mergeCell ref="G58:S58"/>
    <mergeCell ref="T58:U58"/>
    <mergeCell ref="E46:F46"/>
    <mergeCell ref="Y46:AA46"/>
    <mergeCell ref="G46:S46"/>
    <mergeCell ref="T46:U46"/>
    <mergeCell ref="V46:X46"/>
    <mergeCell ref="C56:D56"/>
    <mergeCell ref="AI48:AN48"/>
    <mergeCell ref="C49:D49"/>
    <mergeCell ref="AB52:AE52"/>
    <mergeCell ref="AF52:AH52"/>
    <mergeCell ref="G57:S57"/>
    <mergeCell ref="T57:U57"/>
    <mergeCell ref="E56:F56"/>
    <mergeCell ref="G56:S56"/>
    <mergeCell ref="T56:U56"/>
    <mergeCell ref="AB56:AE56"/>
    <mergeCell ref="AF56:AH56"/>
    <mergeCell ref="AI49:AN49"/>
    <mergeCell ref="V57:X57"/>
    <mergeCell ref="Y57:AA57"/>
    <mergeCell ref="AI56:AN56"/>
    <mergeCell ref="C55:D55"/>
    <mergeCell ref="E55:F55"/>
    <mergeCell ref="G55:S55"/>
    <mergeCell ref="T55:U55"/>
    <mergeCell ref="V55:X55"/>
    <mergeCell ref="C57:D57"/>
    <mergeCell ref="E57:F57"/>
    <mergeCell ref="T52:U52"/>
    <mergeCell ref="C47:D47"/>
    <mergeCell ref="C46:D46"/>
    <mergeCell ref="C54:D54"/>
    <mergeCell ref="AI46:AN46"/>
    <mergeCell ref="AI45:AN45"/>
    <mergeCell ref="AI44:AN44"/>
    <mergeCell ref="AI43:AN43"/>
    <mergeCell ref="AI42:AN42"/>
    <mergeCell ref="AI41:AN41"/>
    <mergeCell ref="T51:U51"/>
    <mergeCell ref="V51:X51"/>
    <mergeCell ref="Y51:AA51"/>
    <mergeCell ref="AB51:AE51"/>
    <mergeCell ref="AF50:AH50"/>
    <mergeCell ref="AI52:AN52"/>
    <mergeCell ref="AI50:AN50"/>
    <mergeCell ref="V56:X56"/>
    <mergeCell ref="Y56:AA56"/>
    <mergeCell ref="T53:U53"/>
    <mergeCell ref="V47:X47"/>
    <mergeCell ref="Y47:AA47"/>
    <mergeCell ref="AB47:AE47"/>
    <mergeCell ref="AB46:AE46"/>
    <mergeCell ref="AB43:AE43"/>
    <mergeCell ref="AB42:AE42"/>
    <mergeCell ref="Y48:AA48"/>
    <mergeCell ref="AF44:AH44"/>
    <mergeCell ref="Y55:AA55"/>
    <mergeCell ref="G36:S36"/>
    <mergeCell ref="V36:X36"/>
    <mergeCell ref="Y36:AA36"/>
    <mergeCell ref="AB36:AE36"/>
    <mergeCell ref="T36:U36"/>
    <mergeCell ref="C38:D38"/>
    <mergeCell ref="C40:D40"/>
    <mergeCell ref="E40:F40"/>
    <mergeCell ref="E44:F44"/>
    <mergeCell ref="AB40:AE40"/>
    <mergeCell ref="G38:S38"/>
    <mergeCell ref="C45:D45"/>
    <mergeCell ref="E45:F45"/>
    <mergeCell ref="G48:S48"/>
    <mergeCell ref="T48:U48"/>
    <mergeCell ref="V48:X48"/>
    <mergeCell ref="C48:D48"/>
    <mergeCell ref="E48:F48"/>
    <mergeCell ref="G39:S39"/>
    <mergeCell ref="T39:U39"/>
    <mergeCell ref="V39:X39"/>
    <mergeCell ref="Y39:AA39"/>
    <mergeCell ref="G40:S40"/>
    <mergeCell ref="T40:U40"/>
    <mergeCell ref="V43:X43"/>
    <mergeCell ref="Y43:AA43"/>
    <mergeCell ref="E47:F47"/>
    <mergeCell ref="Y45:AA45"/>
    <mergeCell ref="G45:S45"/>
    <mergeCell ref="Y37:AA37"/>
    <mergeCell ref="T45:U45"/>
    <mergeCell ref="V45:X45"/>
    <mergeCell ref="AI30:AN30"/>
    <mergeCell ref="AI35:AN35"/>
    <mergeCell ref="AI34:AN34"/>
    <mergeCell ref="AF34:AH34"/>
    <mergeCell ref="Y41:AA41"/>
    <mergeCell ref="AI36:AN36"/>
    <mergeCell ref="T42:U42"/>
    <mergeCell ref="V42:X42"/>
    <mergeCell ref="Y42:AA42"/>
    <mergeCell ref="AB34:AE34"/>
    <mergeCell ref="V34:X34"/>
    <mergeCell ref="Y35:AA35"/>
    <mergeCell ref="AB35:AE35"/>
    <mergeCell ref="Y32:AA32"/>
    <mergeCell ref="AB32:AE32"/>
    <mergeCell ref="AF32:AH32"/>
    <mergeCell ref="C43:D43"/>
    <mergeCell ref="V40:X40"/>
    <mergeCell ref="Y40:AA40"/>
    <mergeCell ref="AF42:AH42"/>
    <mergeCell ref="AF43:AH43"/>
    <mergeCell ref="AB41:AE41"/>
    <mergeCell ref="AF41:AH41"/>
    <mergeCell ref="C37:D37"/>
    <mergeCell ref="E37:F37"/>
    <mergeCell ref="G37:S37"/>
    <mergeCell ref="T37:U37"/>
    <mergeCell ref="V37:X37"/>
    <mergeCell ref="AF31:AH31"/>
    <mergeCell ref="C30:D30"/>
    <mergeCell ref="E30:F30"/>
    <mergeCell ref="G30:S30"/>
    <mergeCell ref="AB31:AE31"/>
    <mergeCell ref="AF51:AH51"/>
    <mergeCell ref="Y50:AA50"/>
    <mergeCell ref="AB50:AE50"/>
    <mergeCell ref="V52:X52"/>
    <mergeCell ref="V50:X50"/>
    <mergeCell ref="T50:U50"/>
    <mergeCell ref="T44:U44"/>
    <mergeCell ref="W25:X25"/>
    <mergeCell ref="L22:M22"/>
    <mergeCell ref="O22:P22"/>
    <mergeCell ref="W22:X22"/>
    <mergeCell ref="C44:D44"/>
    <mergeCell ref="AF49:AH49"/>
    <mergeCell ref="Y49:AA49"/>
    <mergeCell ref="E49:F49"/>
    <mergeCell ref="G49:S49"/>
    <mergeCell ref="G44:S44"/>
    <mergeCell ref="V44:X44"/>
    <mergeCell ref="Y44:AA44"/>
    <mergeCell ref="AF48:AH48"/>
    <mergeCell ref="V49:X49"/>
    <mergeCell ref="AB49:AE49"/>
    <mergeCell ref="AF46:AH46"/>
    <mergeCell ref="T49:U49"/>
    <mergeCell ref="AB44:AE44"/>
    <mergeCell ref="AB39:AE39"/>
    <mergeCell ref="AF39:AH39"/>
    <mergeCell ref="V35:X35"/>
    <mergeCell ref="Y38:AA38"/>
    <mergeCell ref="C36:D36"/>
    <mergeCell ref="E36:F36"/>
    <mergeCell ref="C53:D53"/>
    <mergeCell ref="O20:P20"/>
    <mergeCell ref="AI59:AN59"/>
    <mergeCell ref="AF62:AH62"/>
    <mergeCell ref="AI62:AN62"/>
    <mergeCell ref="AB61:AE61"/>
    <mergeCell ref="AF61:AH61"/>
    <mergeCell ref="AI61:AN61"/>
    <mergeCell ref="AB60:AE60"/>
    <mergeCell ref="AF60:AH60"/>
    <mergeCell ref="B27:B29"/>
    <mergeCell ref="G27:S29"/>
    <mergeCell ref="T27:U29"/>
    <mergeCell ref="V27:X29"/>
    <mergeCell ref="AF29:AH29"/>
    <mergeCell ref="AI29:AN29"/>
    <mergeCell ref="Y27:AN27"/>
    <mergeCell ref="E28:F28"/>
    <mergeCell ref="Y28:AE28"/>
    <mergeCell ref="AF28:AN28"/>
    <mergeCell ref="Y29:AA29"/>
    <mergeCell ref="AB29:AE29"/>
    <mergeCell ref="W20:X20"/>
    <mergeCell ref="Y20:AN25"/>
    <mergeCell ref="L21:M21"/>
    <mergeCell ref="O21:P21"/>
    <mergeCell ref="W21:X21"/>
    <mergeCell ref="AB38:AE38"/>
    <mergeCell ref="AI31:AN31"/>
    <mergeCell ref="T30:U30"/>
    <mergeCell ref="Y31:AA31"/>
    <mergeCell ref="AI37:AN37"/>
    <mergeCell ref="N2:AF3"/>
    <mergeCell ref="B5:Y5"/>
    <mergeCell ref="AE5:AN5"/>
    <mergeCell ref="B8:AD8"/>
    <mergeCell ref="AE8:AN8"/>
    <mergeCell ref="K18:P19"/>
    <mergeCell ref="Q18:X19"/>
    <mergeCell ref="Y18:AI19"/>
    <mergeCell ref="AJ18:AN19"/>
    <mergeCell ref="B11:W11"/>
    <mergeCell ref="X11:AL11"/>
    <mergeCell ref="AM11:AN11"/>
    <mergeCell ref="B14:W14"/>
    <mergeCell ref="X14:AF14"/>
    <mergeCell ref="AG14:AN14"/>
    <mergeCell ref="L20:M20"/>
    <mergeCell ref="C51:D51"/>
    <mergeCell ref="L23:M23"/>
    <mergeCell ref="O23:P23"/>
    <mergeCell ref="W23:X23"/>
    <mergeCell ref="L24:M24"/>
    <mergeCell ref="O24:P24"/>
    <mergeCell ref="W24:X24"/>
    <mergeCell ref="C31:D31"/>
    <mergeCell ref="E31:F31"/>
    <mergeCell ref="G31:S31"/>
    <mergeCell ref="T31:U31"/>
    <mergeCell ref="V31:X31"/>
    <mergeCell ref="V30:X30"/>
    <mergeCell ref="Y30:AA30"/>
    <mergeCell ref="AB30:AE30"/>
    <mergeCell ref="AF30:AH30"/>
    <mergeCell ref="AB59:AE59"/>
    <mergeCell ref="AF59:AH59"/>
    <mergeCell ref="E38:F38"/>
    <mergeCell ref="AB63:AE63"/>
    <mergeCell ref="K210:V210"/>
    <mergeCell ref="AA210:AN210"/>
    <mergeCell ref="M215:X215"/>
    <mergeCell ref="M212:AD212"/>
    <mergeCell ref="E59:F59"/>
    <mergeCell ref="G59:S59"/>
    <mergeCell ref="T59:U59"/>
    <mergeCell ref="V59:X59"/>
    <mergeCell ref="AF35:AH35"/>
    <mergeCell ref="AB48:AE48"/>
    <mergeCell ref="G47:S47"/>
    <mergeCell ref="T47:U47"/>
    <mergeCell ref="Y52:AA52"/>
    <mergeCell ref="AI51:AN51"/>
    <mergeCell ref="AF47:AH47"/>
    <mergeCell ref="AI47:AN47"/>
    <mergeCell ref="AB45:AE45"/>
    <mergeCell ref="AF45:AH45"/>
    <mergeCell ref="Y59:AA59"/>
    <mergeCell ref="E54:F54"/>
    <mergeCell ref="E51:F51"/>
    <mergeCell ref="G51:S51"/>
    <mergeCell ref="T99:U99"/>
    <mergeCell ref="V99:X99"/>
    <mergeCell ref="Y99:AA99"/>
    <mergeCell ref="G54:S54"/>
    <mergeCell ref="T54:U54"/>
    <mergeCell ref="G100:S100"/>
    <mergeCell ref="G34:S34"/>
    <mergeCell ref="C35:D35"/>
    <mergeCell ref="E35:F35"/>
    <mergeCell ref="G35:S35"/>
    <mergeCell ref="T35:U35"/>
    <mergeCell ref="C32:D32"/>
    <mergeCell ref="E32:F32"/>
    <mergeCell ref="G32:S32"/>
    <mergeCell ref="T32:U32"/>
    <mergeCell ref="V32:X32"/>
    <mergeCell ref="E53:F53"/>
    <mergeCell ref="G53:S53"/>
    <mergeCell ref="AI60:AN60"/>
    <mergeCell ref="Y216:AA216"/>
    <mergeCell ref="F198:AM201"/>
    <mergeCell ref="Y215:AA215"/>
    <mergeCell ref="Y214:AA214"/>
    <mergeCell ref="Y63:AA63"/>
    <mergeCell ref="AF63:AH63"/>
    <mergeCell ref="AI63:AN63"/>
    <mergeCell ref="AC209:AG209"/>
    <mergeCell ref="Y34:AA34"/>
    <mergeCell ref="AF36:AH36"/>
    <mergeCell ref="T38:U38"/>
    <mergeCell ref="V38:X38"/>
    <mergeCell ref="AI39:AN39"/>
    <mergeCell ref="AI40:AN40"/>
    <mergeCell ref="AI38:AN38"/>
    <mergeCell ref="AF40:AH40"/>
    <mergeCell ref="AF38:AH38"/>
    <mergeCell ref="AB37:AE37"/>
    <mergeCell ref="AF37:AH37"/>
    <mergeCell ref="C52:D52"/>
    <mergeCell ref="E52:F52"/>
    <mergeCell ref="G52:S52"/>
    <mergeCell ref="C50:D50"/>
    <mergeCell ref="E50:F50"/>
    <mergeCell ref="G50:S50"/>
    <mergeCell ref="AI32:AN32"/>
    <mergeCell ref="E43:F43"/>
    <mergeCell ref="G43:S43"/>
    <mergeCell ref="T43:U43"/>
    <mergeCell ref="C41:D41"/>
    <mergeCell ref="E41:F41"/>
    <mergeCell ref="G41:S41"/>
    <mergeCell ref="T41:U41"/>
    <mergeCell ref="V41:X41"/>
    <mergeCell ref="G42:S42"/>
    <mergeCell ref="C33:D33"/>
    <mergeCell ref="E33:F33"/>
    <mergeCell ref="G33:S33"/>
    <mergeCell ref="T33:U33"/>
    <mergeCell ref="V33:X33"/>
    <mergeCell ref="Y33:AA33"/>
    <mergeCell ref="AB33:AE33"/>
    <mergeCell ref="AF33:AH33"/>
    <mergeCell ref="AI33:AN33"/>
    <mergeCell ref="C39:D39"/>
    <mergeCell ref="E39:F39"/>
    <mergeCell ref="E42:F42"/>
    <mergeCell ref="C42:D42"/>
    <mergeCell ref="C34:D34"/>
    <mergeCell ref="E34:F34"/>
    <mergeCell ref="T34:U34"/>
    <mergeCell ref="T100:U100"/>
    <mergeCell ref="V100:X100"/>
    <mergeCell ref="Y100:AA100"/>
    <mergeCell ref="AB100:AE100"/>
    <mergeCell ref="AF100:AH100"/>
    <mergeCell ref="AI100:AN100"/>
    <mergeCell ref="C101:D101"/>
    <mergeCell ref="E101:F101"/>
    <mergeCell ref="G101:S101"/>
    <mergeCell ref="T101:U101"/>
    <mergeCell ref="V101:X101"/>
    <mergeCell ref="Y101:AA101"/>
    <mergeCell ref="AB101:AE101"/>
    <mergeCell ref="AF101:AH101"/>
    <mergeCell ref="AI101:AN101"/>
    <mergeCell ref="C102:D102"/>
    <mergeCell ref="E102:F102"/>
    <mergeCell ref="G102:S102"/>
    <mergeCell ref="T102:U102"/>
    <mergeCell ref="V102:X102"/>
    <mergeCell ref="Y102:AA102"/>
    <mergeCell ref="AB102:AE102"/>
    <mergeCell ref="AF102:AH102"/>
    <mergeCell ref="AI102:AN102"/>
    <mergeCell ref="C103:D103"/>
    <mergeCell ref="E103:F103"/>
    <mergeCell ref="G103:S103"/>
    <mergeCell ref="T103:U103"/>
    <mergeCell ref="V103:X103"/>
    <mergeCell ref="Y103:AA103"/>
    <mergeCell ref="AB103:AE103"/>
    <mergeCell ref="AF103:AH103"/>
    <mergeCell ref="AI103:AN103"/>
    <mergeCell ref="C104:D104"/>
    <mergeCell ref="E104:F104"/>
    <mergeCell ref="G104:S104"/>
    <mergeCell ref="T104:U104"/>
    <mergeCell ref="V104:X104"/>
    <mergeCell ref="Y104:AA104"/>
    <mergeCell ref="AB104:AE104"/>
    <mergeCell ref="AF104:AH104"/>
    <mergeCell ref="AI104:AN104"/>
    <mergeCell ref="C105:D105"/>
    <mergeCell ref="E105:F105"/>
    <mergeCell ref="G105:S105"/>
    <mergeCell ref="T105:U105"/>
    <mergeCell ref="V105:X105"/>
    <mergeCell ref="Y105:AA105"/>
    <mergeCell ref="AB105:AE105"/>
    <mergeCell ref="AF105:AH105"/>
    <mergeCell ref="AI105:AN105"/>
    <mergeCell ref="C106:D106"/>
    <mergeCell ref="E106:F106"/>
    <mergeCell ref="G106:S106"/>
    <mergeCell ref="T106:U106"/>
    <mergeCell ref="V106:X106"/>
    <mergeCell ref="Y106:AA106"/>
    <mergeCell ref="AB106:AE106"/>
    <mergeCell ref="AF106:AH106"/>
    <mergeCell ref="AI106:AN106"/>
    <mergeCell ref="C107:D107"/>
    <mergeCell ref="E107:F107"/>
    <mergeCell ref="G107:S107"/>
    <mergeCell ref="T107:U107"/>
    <mergeCell ref="V107:X107"/>
    <mergeCell ref="Y107:AA107"/>
    <mergeCell ref="AB107:AE107"/>
    <mergeCell ref="AF107:AH107"/>
    <mergeCell ref="AI107:AN107"/>
    <mergeCell ref="C108:D108"/>
    <mergeCell ref="E108:F108"/>
    <mergeCell ref="G108:S108"/>
    <mergeCell ref="T108:U108"/>
    <mergeCell ref="V108:X108"/>
    <mergeCell ref="Y108:AA108"/>
    <mergeCell ref="AB108:AE108"/>
    <mergeCell ref="AF108:AH108"/>
    <mergeCell ref="AI108:AN108"/>
    <mergeCell ref="C109:D109"/>
    <mergeCell ref="E109:F109"/>
    <mergeCell ref="G109:S109"/>
    <mergeCell ref="T109:U109"/>
    <mergeCell ref="V109:X109"/>
    <mergeCell ref="Y109:AA109"/>
    <mergeCell ref="AB109:AE109"/>
    <mergeCell ref="AF109:AH109"/>
    <mergeCell ref="AI109:AN109"/>
    <mergeCell ref="C110:D110"/>
    <mergeCell ref="E110:F110"/>
    <mergeCell ref="G110:S110"/>
    <mergeCell ref="T110:U110"/>
    <mergeCell ref="V110:X110"/>
    <mergeCell ref="Y110:AA110"/>
    <mergeCell ref="AB110:AE110"/>
    <mergeCell ref="AF110:AH110"/>
    <mergeCell ref="AI110:AN110"/>
    <mergeCell ref="C111:D111"/>
    <mergeCell ref="E111:F111"/>
    <mergeCell ref="G111:S111"/>
    <mergeCell ref="T111:U111"/>
    <mergeCell ref="V111:X111"/>
    <mergeCell ref="Y111:AA111"/>
    <mergeCell ref="AB111:AE111"/>
    <mergeCell ref="AF111:AH111"/>
    <mergeCell ref="AI111:AN111"/>
    <mergeCell ref="C112:D112"/>
    <mergeCell ref="E112:F112"/>
    <mergeCell ref="G112:S112"/>
    <mergeCell ref="T112:U112"/>
    <mergeCell ref="V112:X112"/>
    <mergeCell ref="Y112:AA112"/>
    <mergeCell ref="AB112:AE112"/>
    <mergeCell ref="AF112:AH112"/>
    <mergeCell ref="AI112:AN112"/>
    <mergeCell ref="C113:D113"/>
    <mergeCell ref="E113:F113"/>
    <mergeCell ref="G113:S113"/>
    <mergeCell ref="T113:U113"/>
    <mergeCell ref="V113:X113"/>
    <mergeCell ref="Y113:AA113"/>
    <mergeCell ref="AB113:AE113"/>
    <mergeCell ref="AF113:AH113"/>
    <mergeCell ref="AI113:AN113"/>
    <mergeCell ref="C114:D114"/>
    <mergeCell ref="E114:F114"/>
    <mergeCell ref="G114:S114"/>
    <mergeCell ref="T114:U114"/>
    <mergeCell ref="V114:X114"/>
    <mergeCell ref="Y114:AA114"/>
    <mergeCell ref="AB114:AE114"/>
    <mergeCell ref="AF114:AH114"/>
    <mergeCell ref="AI114:AN114"/>
    <mergeCell ref="C115:D115"/>
    <mergeCell ref="E115:F115"/>
    <mergeCell ref="G115:S115"/>
    <mergeCell ref="T115:U115"/>
    <mergeCell ref="V115:X115"/>
    <mergeCell ref="Y115:AA115"/>
    <mergeCell ref="AB115:AE115"/>
    <mergeCell ref="AF115:AH115"/>
    <mergeCell ref="AI115:AN115"/>
    <mergeCell ref="C116:D116"/>
    <mergeCell ref="E116:F116"/>
    <mergeCell ref="G116:S116"/>
    <mergeCell ref="T116:U116"/>
    <mergeCell ref="V116:X116"/>
    <mergeCell ref="Y116:AA116"/>
    <mergeCell ref="AB116:AE116"/>
    <mergeCell ref="AF116:AH116"/>
    <mergeCell ref="AI116:AN116"/>
    <mergeCell ref="C117:D117"/>
    <mergeCell ref="E117:F117"/>
    <mergeCell ref="G117:S117"/>
    <mergeCell ref="T117:U117"/>
    <mergeCell ref="V117:X117"/>
    <mergeCell ref="Y117:AA117"/>
    <mergeCell ref="AB117:AE117"/>
    <mergeCell ref="AF117:AH117"/>
    <mergeCell ref="AI117:AN117"/>
    <mergeCell ref="C118:D118"/>
    <mergeCell ref="E118:F118"/>
    <mergeCell ref="G118:S118"/>
    <mergeCell ref="T118:U118"/>
    <mergeCell ref="V118:X118"/>
    <mergeCell ref="Y118:AA118"/>
    <mergeCell ref="AB118:AE118"/>
    <mergeCell ref="AF118:AH118"/>
    <mergeCell ref="AI118:AN118"/>
    <mergeCell ref="C119:D119"/>
    <mergeCell ref="E119:F119"/>
    <mergeCell ref="G119:S119"/>
    <mergeCell ref="T119:U119"/>
    <mergeCell ref="V119:X119"/>
    <mergeCell ref="Y119:AA119"/>
    <mergeCell ref="AB119:AE119"/>
    <mergeCell ref="AF119:AH119"/>
    <mergeCell ref="AI119:AN119"/>
    <mergeCell ref="C120:D120"/>
    <mergeCell ref="E120:F120"/>
    <mergeCell ref="G120:S120"/>
    <mergeCell ref="T120:U120"/>
    <mergeCell ref="V120:X120"/>
    <mergeCell ref="Y120:AA120"/>
    <mergeCell ref="AB120:AE120"/>
    <mergeCell ref="AF120:AH120"/>
    <mergeCell ref="AI120:AN120"/>
    <mergeCell ref="C121:D121"/>
    <mergeCell ref="E121:F121"/>
    <mergeCell ref="G121:S121"/>
    <mergeCell ref="T121:U121"/>
    <mergeCell ref="V121:X121"/>
    <mergeCell ref="Y121:AA121"/>
    <mergeCell ref="AB121:AE121"/>
    <mergeCell ref="AF121:AH121"/>
    <mergeCell ref="AI121:AN121"/>
    <mergeCell ref="C122:D122"/>
    <mergeCell ref="E122:F122"/>
    <mergeCell ref="G122:S122"/>
    <mergeCell ref="T122:U122"/>
    <mergeCell ref="V122:X122"/>
    <mergeCell ref="Y122:AA122"/>
    <mergeCell ref="AB122:AE122"/>
    <mergeCell ref="AF122:AH122"/>
    <mergeCell ref="AI122:AN122"/>
    <mergeCell ref="C123:D123"/>
    <mergeCell ref="E123:F123"/>
    <mergeCell ref="G123:S123"/>
    <mergeCell ref="T123:U123"/>
    <mergeCell ref="V123:X123"/>
    <mergeCell ref="C125:D125"/>
    <mergeCell ref="E125:F125"/>
    <mergeCell ref="G125:S125"/>
    <mergeCell ref="T125:U125"/>
    <mergeCell ref="V125:X125"/>
    <mergeCell ref="Y125:AA125"/>
    <mergeCell ref="AB125:AE125"/>
    <mergeCell ref="AF125:AH125"/>
    <mergeCell ref="AI125:AN125"/>
    <mergeCell ref="C126:D126"/>
    <mergeCell ref="E126:F126"/>
    <mergeCell ref="G126:S126"/>
    <mergeCell ref="T126:U126"/>
    <mergeCell ref="V126:X126"/>
    <mergeCell ref="Y126:AA126"/>
    <mergeCell ref="AB126:AE126"/>
    <mergeCell ref="AF126:AH126"/>
    <mergeCell ref="AI126:AN126"/>
    <mergeCell ref="Y123:AA123"/>
    <mergeCell ref="AB123:AE123"/>
    <mergeCell ref="AF123:AH123"/>
    <mergeCell ref="AI123:AN123"/>
    <mergeCell ref="C124:D124"/>
    <mergeCell ref="E124:F124"/>
    <mergeCell ref="G124:S124"/>
    <mergeCell ref="T124:U124"/>
    <mergeCell ref="V124:X124"/>
    <mergeCell ref="C127:D127"/>
    <mergeCell ref="E127:F127"/>
    <mergeCell ref="G127:S127"/>
    <mergeCell ref="T127:U127"/>
    <mergeCell ref="V127:X127"/>
    <mergeCell ref="Y127:AA127"/>
    <mergeCell ref="AB127:AE127"/>
    <mergeCell ref="AF127:AH127"/>
    <mergeCell ref="AI127:AN127"/>
    <mergeCell ref="C128:D128"/>
    <mergeCell ref="E128:F128"/>
    <mergeCell ref="G128:S128"/>
    <mergeCell ref="T128:U128"/>
    <mergeCell ref="V128:X128"/>
    <mergeCell ref="Y128:AA128"/>
    <mergeCell ref="AB128:AE128"/>
    <mergeCell ref="AF128:AH128"/>
    <mergeCell ref="AI128:AN128"/>
    <mergeCell ref="C129:D129"/>
    <mergeCell ref="E129:F129"/>
    <mergeCell ref="G129:S129"/>
    <mergeCell ref="T129:U129"/>
    <mergeCell ref="V129:X129"/>
    <mergeCell ref="Y129:AA129"/>
    <mergeCell ref="AB129:AE129"/>
    <mergeCell ref="AF129:AH129"/>
    <mergeCell ref="AI129:AN129"/>
    <mergeCell ref="C130:D130"/>
    <mergeCell ref="E130:F130"/>
    <mergeCell ref="G130:S130"/>
    <mergeCell ref="T130:U130"/>
    <mergeCell ref="V130:X130"/>
    <mergeCell ref="Y130:AA130"/>
    <mergeCell ref="AB130:AE130"/>
    <mergeCell ref="AF130:AH130"/>
    <mergeCell ref="AI130:AN130"/>
    <mergeCell ref="C131:D131"/>
    <mergeCell ref="E131:F131"/>
    <mergeCell ref="G131:S131"/>
    <mergeCell ref="T131:U131"/>
    <mergeCell ref="V131:X131"/>
    <mergeCell ref="Y131:AA131"/>
    <mergeCell ref="AB131:AE131"/>
    <mergeCell ref="AF131:AH131"/>
    <mergeCell ref="AI131:AN131"/>
    <mergeCell ref="C132:D132"/>
    <mergeCell ref="E132:F132"/>
    <mergeCell ref="G132:S132"/>
    <mergeCell ref="T132:U132"/>
    <mergeCell ref="V132:X132"/>
    <mergeCell ref="Y132:AA132"/>
    <mergeCell ref="AB132:AE132"/>
    <mergeCell ref="AF132:AH132"/>
    <mergeCell ref="AI132:AN132"/>
    <mergeCell ref="C133:D133"/>
    <mergeCell ref="E133:F133"/>
    <mergeCell ref="G133:S133"/>
    <mergeCell ref="T133:U133"/>
    <mergeCell ref="V133:X133"/>
    <mergeCell ref="Y133:AA133"/>
    <mergeCell ref="AB133:AE133"/>
    <mergeCell ref="AF133:AH133"/>
    <mergeCell ref="AI133:AN133"/>
    <mergeCell ref="C134:D134"/>
    <mergeCell ref="E134:F134"/>
    <mergeCell ref="G134:S134"/>
    <mergeCell ref="T134:U134"/>
    <mergeCell ref="V134:X134"/>
    <mergeCell ref="Y134:AA134"/>
    <mergeCell ref="AB134:AE134"/>
    <mergeCell ref="AF134:AH134"/>
    <mergeCell ref="AI134:AN134"/>
    <mergeCell ref="C135:D135"/>
    <mergeCell ref="E135:F135"/>
    <mergeCell ref="G135:S135"/>
    <mergeCell ref="T135:U135"/>
    <mergeCell ref="V135:X135"/>
    <mergeCell ref="Y135:AA135"/>
    <mergeCell ref="AB135:AE135"/>
    <mergeCell ref="AF135:AH135"/>
    <mergeCell ref="AI135:AN135"/>
    <mergeCell ref="C136:D136"/>
    <mergeCell ref="E136:F136"/>
    <mergeCell ref="G136:S136"/>
    <mergeCell ref="T136:U136"/>
    <mergeCell ref="V136:X136"/>
    <mergeCell ref="Y136:AA136"/>
    <mergeCell ref="AB136:AE136"/>
    <mergeCell ref="AF136:AH136"/>
    <mergeCell ref="AI136:AN136"/>
    <mergeCell ref="C137:D137"/>
    <mergeCell ref="E137:F137"/>
    <mergeCell ref="G137:S137"/>
    <mergeCell ref="T137:U137"/>
    <mergeCell ref="V137:X137"/>
    <mergeCell ref="Y137:AA137"/>
    <mergeCell ref="AB137:AE137"/>
    <mergeCell ref="AF137:AH137"/>
    <mergeCell ref="AI137:AN137"/>
    <mergeCell ref="C138:D138"/>
    <mergeCell ref="E138:F138"/>
    <mergeCell ref="G138:S138"/>
    <mergeCell ref="T138:U138"/>
    <mergeCell ref="V138:X138"/>
    <mergeCell ref="Y138:AA138"/>
    <mergeCell ref="AB138:AE138"/>
    <mergeCell ref="AF138:AH138"/>
    <mergeCell ref="AI138:AN138"/>
    <mergeCell ref="C139:D139"/>
    <mergeCell ref="E139:F139"/>
    <mergeCell ref="G139:S139"/>
    <mergeCell ref="T139:U139"/>
    <mergeCell ref="V139:X139"/>
    <mergeCell ref="Y139:AA139"/>
    <mergeCell ref="AB139:AE139"/>
    <mergeCell ref="AF139:AH139"/>
    <mergeCell ref="AI139:AN139"/>
    <mergeCell ref="C140:D140"/>
    <mergeCell ref="E140:F140"/>
    <mergeCell ref="G140:S140"/>
    <mergeCell ref="T140:U140"/>
    <mergeCell ref="V140:X140"/>
    <mergeCell ref="Y140:AA140"/>
    <mergeCell ref="AB140:AE140"/>
    <mergeCell ref="AF140:AH140"/>
    <mergeCell ref="AI140:AN140"/>
    <mergeCell ref="C141:D141"/>
    <mergeCell ref="E141:F141"/>
    <mergeCell ref="G141:S141"/>
    <mergeCell ref="T141:U141"/>
    <mergeCell ref="V141:X141"/>
    <mergeCell ref="Y141:AA141"/>
    <mergeCell ref="AB141:AE141"/>
    <mergeCell ref="AF141:AH141"/>
    <mergeCell ref="AI141:AN141"/>
    <mergeCell ref="C142:D142"/>
    <mergeCell ref="E142:F142"/>
    <mergeCell ref="G142:S142"/>
    <mergeCell ref="T142:U142"/>
    <mergeCell ref="V142:X142"/>
    <mergeCell ref="Y142:AA142"/>
    <mergeCell ref="AB142:AE142"/>
    <mergeCell ref="AF142:AH142"/>
    <mergeCell ref="AI142:AN142"/>
    <mergeCell ref="C143:D143"/>
    <mergeCell ref="E143:F143"/>
    <mergeCell ref="G143:S143"/>
    <mergeCell ref="T143:U143"/>
    <mergeCell ref="V143:X143"/>
    <mergeCell ref="Y143:AA143"/>
    <mergeCell ref="AB143:AE143"/>
    <mergeCell ref="AF143:AH143"/>
    <mergeCell ref="AI143:AN143"/>
    <mergeCell ref="C144:D144"/>
    <mergeCell ref="E144:F144"/>
    <mergeCell ref="G144:S144"/>
    <mergeCell ref="T144:U144"/>
    <mergeCell ref="V144:X144"/>
    <mergeCell ref="Y144:AA144"/>
    <mergeCell ref="AB144:AE144"/>
    <mergeCell ref="AF144:AH144"/>
    <mergeCell ref="AI144:AN144"/>
    <mergeCell ref="C145:D145"/>
    <mergeCell ref="E145:F145"/>
    <mergeCell ref="G145:S145"/>
    <mergeCell ref="T145:U145"/>
    <mergeCell ref="V145:X145"/>
    <mergeCell ref="Y145:AA145"/>
    <mergeCell ref="AB145:AE145"/>
    <mergeCell ref="AF145:AH145"/>
    <mergeCell ref="AI145:AN145"/>
    <mergeCell ref="C146:D146"/>
    <mergeCell ref="E146:F146"/>
    <mergeCell ref="G146:S146"/>
    <mergeCell ref="T146:U146"/>
    <mergeCell ref="V146:X146"/>
    <mergeCell ref="Y146:AA146"/>
    <mergeCell ref="AB146:AE146"/>
    <mergeCell ref="AF146:AH146"/>
    <mergeCell ref="AI146:AN146"/>
    <mergeCell ref="C147:D147"/>
    <mergeCell ref="E147:F147"/>
    <mergeCell ref="G147:S147"/>
    <mergeCell ref="T147:U147"/>
    <mergeCell ref="V147:X147"/>
    <mergeCell ref="Y147:AA147"/>
    <mergeCell ref="AB147:AE147"/>
    <mergeCell ref="AF147:AH147"/>
    <mergeCell ref="AI147:AN147"/>
    <mergeCell ref="C148:D148"/>
    <mergeCell ref="E148:F148"/>
    <mergeCell ref="G148:S148"/>
    <mergeCell ref="T148:U148"/>
    <mergeCell ref="V148:X148"/>
    <mergeCell ref="Y148:AA148"/>
    <mergeCell ref="AB148:AE148"/>
    <mergeCell ref="AF148:AH148"/>
    <mergeCell ref="AI148:AN148"/>
    <mergeCell ref="C149:D149"/>
    <mergeCell ref="E149:F149"/>
    <mergeCell ref="G149:S149"/>
    <mergeCell ref="T149:U149"/>
    <mergeCell ref="V149:X149"/>
    <mergeCell ref="Y149:AA149"/>
    <mergeCell ref="AB149:AE149"/>
    <mergeCell ref="AF149:AH149"/>
    <mergeCell ref="AI149:AN149"/>
    <mergeCell ref="C150:D150"/>
    <mergeCell ref="E150:F150"/>
    <mergeCell ref="G150:S150"/>
    <mergeCell ref="T150:U150"/>
    <mergeCell ref="V150:X150"/>
    <mergeCell ref="Y150:AA150"/>
    <mergeCell ref="AB150:AE150"/>
    <mergeCell ref="AF150:AH150"/>
    <mergeCell ref="AI150:AN150"/>
    <mergeCell ref="C164:D164"/>
    <mergeCell ref="E164:F164"/>
    <mergeCell ref="G164:S164"/>
    <mergeCell ref="T164:U164"/>
    <mergeCell ref="V164:X164"/>
    <mergeCell ref="Y164:AA164"/>
    <mergeCell ref="AB164:AE164"/>
    <mergeCell ref="AF164:AH164"/>
    <mergeCell ref="AI164:AN164"/>
    <mergeCell ref="C157:D157"/>
    <mergeCell ref="E157:F157"/>
    <mergeCell ref="G157:S157"/>
    <mergeCell ref="T157:U157"/>
    <mergeCell ref="V157:X157"/>
    <mergeCell ref="Y157:AA157"/>
    <mergeCell ref="AB157:AE157"/>
    <mergeCell ref="AF157:AH157"/>
    <mergeCell ref="AI157:AN157"/>
    <mergeCell ref="C161:D161"/>
    <mergeCell ref="E161:F161"/>
    <mergeCell ref="G161:S161"/>
    <mergeCell ref="T161:U161"/>
    <mergeCell ref="V161:X161"/>
    <mergeCell ref="Y161:AA161"/>
    <mergeCell ref="AB161:AE161"/>
    <mergeCell ref="AF161:AH161"/>
    <mergeCell ref="AI161:AN161"/>
    <mergeCell ref="C160:D160"/>
    <mergeCell ref="E160:F160"/>
    <mergeCell ref="G160:S160"/>
    <mergeCell ref="T160:U160"/>
    <mergeCell ref="V160:X160"/>
    <mergeCell ref="E165:F165"/>
    <mergeCell ref="G165:S165"/>
    <mergeCell ref="T165:U165"/>
    <mergeCell ref="V165:X165"/>
    <mergeCell ref="Y165:AA165"/>
    <mergeCell ref="AB165:AE165"/>
    <mergeCell ref="AF165:AH165"/>
    <mergeCell ref="AI165:AN165"/>
    <mergeCell ref="C166:D166"/>
    <mergeCell ref="E166:F166"/>
    <mergeCell ref="G166:S166"/>
    <mergeCell ref="T166:U166"/>
    <mergeCell ref="V166:X166"/>
    <mergeCell ref="Y166:AA166"/>
    <mergeCell ref="AB166:AE166"/>
    <mergeCell ref="AF166:AH166"/>
    <mergeCell ref="AI166:AN166"/>
    <mergeCell ref="C167:D167"/>
    <mergeCell ref="E167:F167"/>
    <mergeCell ref="G167:S167"/>
    <mergeCell ref="T167:U167"/>
    <mergeCell ref="V167:X167"/>
    <mergeCell ref="Y167:AA167"/>
    <mergeCell ref="AB167:AE167"/>
    <mergeCell ref="AF167:AH167"/>
    <mergeCell ref="AI167:AN167"/>
    <mergeCell ref="C168:D168"/>
    <mergeCell ref="E168:F168"/>
    <mergeCell ref="G168:S168"/>
    <mergeCell ref="T168:U168"/>
    <mergeCell ref="V168:X168"/>
    <mergeCell ref="Y168:AA168"/>
    <mergeCell ref="AB168:AE168"/>
    <mergeCell ref="AF168:AH168"/>
    <mergeCell ref="AI168:AN168"/>
    <mergeCell ref="C169:D169"/>
    <mergeCell ref="E169:F169"/>
    <mergeCell ref="G169:S169"/>
    <mergeCell ref="T169:U169"/>
    <mergeCell ref="V169:X169"/>
    <mergeCell ref="Y169:AA169"/>
    <mergeCell ref="AB169:AE169"/>
    <mergeCell ref="AF169:AH169"/>
    <mergeCell ref="AI169:AN169"/>
    <mergeCell ref="C170:D170"/>
    <mergeCell ref="E170:F170"/>
    <mergeCell ref="G170:S170"/>
    <mergeCell ref="T170:U170"/>
    <mergeCell ref="V170:X170"/>
    <mergeCell ref="Y170:AA170"/>
    <mergeCell ref="AB170:AE170"/>
    <mergeCell ref="AF170:AH170"/>
    <mergeCell ref="AI170:AN170"/>
    <mergeCell ref="C171:D171"/>
    <mergeCell ref="E171:F171"/>
    <mergeCell ref="G171:S171"/>
    <mergeCell ref="T171:U171"/>
    <mergeCell ref="V171:X171"/>
    <mergeCell ref="Y171:AA171"/>
    <mergeCell ref="AB171:AE171"/>
    <mergeCell ref="AF171:AH171"/>
    <mergeCell ref="AI171:AN171"/>
    <mergeCell ref="C172:D172"/>
    <mergeCell ref="E172:F172"/>
    <mergeCell ref="G172:S172"/>
    <mergeCell ref="T172:U172"/>
    <mergeCell ref="V172:X172"/>
    <mergeCell ref="Y172:AA172"/>
    <mergeCell ref="AB172:AE172"/>
    <mergeCell ref="AF172:AH172"/>
    <mergeCell ref="AI172:AN172"/>
    <mergeCell ref="C173:D173"/>
    <mergeCell ref="E173:F173"/>
    <mergeCell ref="G173:S173"/>
    <mergeCell ref="T173:U173"/>
    <mergeCell ref="V173:X173"/>
    <mergeCell ref="Y173:AA173"/>
    <mergeCell ref="AB173:AE173"/>
    <mergeCell ref="AF173:AH173"/>
    <mergeCell ref="AI173:AN173"/>
    <mergeCell ref="C174:D174"/>
    <mergeCell ref="E174:F174"/>
    <mergeCell ref="G174:S174"/>
    <mergeCell ref="T174:U174"/>
    <mergeCell ref="V174:X174"/>
    <mergeCell ref="Y174:AA174"/>
    <mergeCell ref="AB174:AE174"/>
    <mergeCell ref="AF174:AH174"/>
    <mergeCell ref="AI174:AN174"/>
    <mergeCell ref="C175:D175"/>
    <mergeCell ref="E175:F175"/>
    <mergeCell ref="G175:S175"/>
    <mergeCell ref="T175:U175"/>
    <mergeCell ref="V175:X175"/>
    <mergeCell ref="Y175:AA175"/>
    <mergeCell ref="AB175:AE175"/>
    <mergeCell ref="AF175:AH175"/>
    <mergeCell ref="AI175:AN175"/>
    <mergeCell ref="C176:D176"/>
    <mergeCell ref="E176:F176"/>
    <mergeCell ref="G176:S176"/>
    <mergeCell ref="T176:U176"/>
    <mergeCell ref="V176:X176"/>
    <mergeCell ref="Y176:AA176"/>
    <mergeCell ref="AB176:AE176"/>
    <mergeCell ref="AF176:AH176"/>
    <mergeCell ref="AI176:AN176"/>
    <mergeCell ref="C177:D177"/>
    <mergeCell ref="E177:F177"/>
    <mergeCell ref="G177:S177"/>
    <mergeCell ref="T177:U177"/>
    <mergeCell ref="V177:X177"/>
    <mergeCell ref="Y177:AA177"/>
    <mergeCell ref="AB177:AE177"/>
    <mergeCell ref="AF177:AH177"/>
    <mergeCell ref="AI177:AN177"/>
    <mergeCell ref="C178:D178"/>
    <mergeCell ref="E178:F178"/>
    <mergeCell ref="G178:S178"/>
    <mergeCell ref="T178:U178"/>
    <mergeCell ref="V178:X178"/>
    <mergeCell ref="Y178:AA178"/>
    <mergeCell ref="AB178:AE178"/>
    <mergeCell ref="AF178:AH178"/>
    <mergeCell ref="AI178:AN178"/>
    <mergeCell ref="C179:D179"/>
    <mergeCell ref="E179:F179"/>
    <mergeCell ref="G179:S179"/>
    <mergeCell ref="T179:U179"/>
    <mergeCell ref="V179:X179"/>
    <mergeCell ref="Y179:AA179"/>
    <mergeCell ref="AB179:AE179"/>
    <mergeCell ref="AF179:AH179"/>
    <mergeCell ref="AI179:AN179"/>
    <mergeCell ref="C180:D180"/>
    <mergeCell ref="E180:F180"/>
    <mergeCell ref="G180:S180"/>
    <mergeCell ref="T180:U180"/>
    <mergeCell ref="V180:X180"/>
    <mergeCell ref="Y180:AA180"/>
    <mergeCell ref="AB180:AE180"/>
    <mergeCell ref="AF180:AH180"/>
    <mergeCell ref="AI180:AN180"/>
    <mergeCell ref="C181:D181"/>
    <mergeCell ref="E181:F181"/>
    <mergeCell ref="G181:S181"/>
    <mergeCell ref="T181:U181"/>
    <mergeCell ref="V181:X181"/>
    <mergeCell ref="Y181:AA181"/>
    <mergeCell ref="AB181:AE181"/>
    <mergeCell ref="AF181:AH181"/>
    <mergeCell ref="AI181:AN181"/>
    <mergeCell ref="C182:D182"/>
    <mergeCell ref="E182:F182"/>
    <mergeCell ref="G182:S182"/>
    <mergeCell ref="T182:U182"/>
    <mergeCell ref="V182:X182"/>
    <mergeCell ref="Y182:AA182"/>
    <mergeCell ref="AB182:AE182"/>
    <mergeCell ref="AF182:AH182"/>
    <mergeCell ref="AI182:AN182"/>
    <mergeCell ref="C183:D183"/>
    <mergeCell ref="E183:F183"/>
    <mergeCell ref="G183:S183"/>
    <mergeCell ref="T183:U183"/>
    <mergeCell ref="V183:X183"/>
    <mergeCell ref="Y183:AA183"/>
    <mergeCell ref="AB183:AE183"/>
    <mergeCell ref="AF183:AH183"/>
    <mergeCell ref="AI183:AN183"/>
    <mergeCell ref="C184:D184"/>
    <mergeCell ref="E184:F184"/>
    <mergeCell ref="G184:S184"/>
    <mergeCell ref="T184:U184"/>
    <mergeCell ref="V184:X184"/>
    <mergeCell ref="Y184:AA184"/>
    <mergeCell ref="AB184:AE184"/>
    <mergeCell ref="AF184:AH184"/>
    <mergeCell ref="AI184:AN184"/>
    <mergeCell ref="C185:D185"/>
    <mergeCell ref="E185:F185"/>
    <mergeCell ref="G185:S185"/>
    <mergeCell ref="T185:U185"/>
    <mergeCell ref="V185:X185"/>
    <mergeCell ref="Y185:AA185"/>
    <mergeCell ref="AB185:AE185"/>
    <mergeCell ref="AF185:AH185"/>
    <mergeCell ref="AI185:AN185"/>
    <mergeCell ref="C186:D186"/>
    <mergeCell ref="E186:F186"/>
    <mergeCell ref="G186:S186"/>
    <mergeCell ref="T186:U186"/>
    <mergeCell ref="V186:X186"/>
    <mergeCell ref="Y186:AA186"/>
    <mergeCell ref="AB186:AE186"/>
    <mergeCell ref="AF186:AH186"/>
    <mergeCell ref="AI186:AN186"/>
    <mergeCell ref="C187:D187"/>
    <mergeCell ref="E187:F187"/>
    <mergeCell ref="G187:S187"/>
    <mergeCell ref="T187:U187"/>
    <mergeCell ref="V187:X187"/>
    <mergeCell ref="Y187:AA187"/>
    <mergeCell ref="AB187:AE187"/>
    <mergeCell ref="AF187:AH187"/>
    <mergeCell ref="AI187:AN187"/>
    <mergeCell ref="C188:D188"/>
    <mergeCell ref="E188:F188"/>
    <mergeCell ref="G188:S188"/>
    <mergeCell ref="T188:U188"/>
    <mergeCell ref="V188:X188"/>
    <mergeCell ref="Y188:AA188"/>
    <mergeCell ref="AB188:AE188"/>
    <mergeCell ref="AF188:AH188"/>
    <mergeCell ref="AI188:AN188"/>
    <mergeCell ref="V191:X191"/>
    <mergeCell ref="Y191:AA191"/>
    <mergeCell ref="AB191:AE191"/>
    <mergeCell ref="AF191:AH191"/>
    <mergeCell ref="AI191:AN191"/>
    <mergeCell ref="C192:D192"/>
    <mergeCell ref="E192:F192"/>
    <mergeCell ref="G192:S192"/>
    <mergeCell ref="T192:U192"/>
    <mergeCell ref="V192:X192"/>
    <mergeCell ref="Y192:AA192"/>
    <mergeCell ref="AB192:AE192"/>
    <mergeCell ref="AF192:AH192"/>
    <mergeCell ref="AI192:AN192"/>
    <mergeCell ref="C189:D189"/>
    <mergeCell ref="E189:F189"/>
    <mergeCell ref="G189:S189"/>
    <mergeCell ref="T189:U189"/>
    <mergeCell ref="V189:X189"/>
    <mergeCell ref="Y189:AA189"/>
    <mergeCell ref="AB189:AE189"/>
    <mergeCell ref="AF189:AH189"/>
    <mergeCell ref="AI189:AN189"/>
    <mergeCell ref="C190:D190"/>
    <mergeCell ref="E190:F190"/>
    <mergeCell ref="G190:S190"/>
    <mergeCell ref="T190:U190"/>
    <mergeCell ref="V190:X190"/>
    <mergeCell ref="Y190:AA190"/>
    <mergeCell ref="AB190:AE190"/>
    <mergeCell ref="AF190:AH190"/>
    <mergeCell ref="AI190:AN190"/>
    <mergeCell ref="B205:D205"/>
    <mergeCell ref="E205:H205"/>
    <mergeCell ref="B207:D207"/>
    <mergeCell ref="E207:H207"/>
    <mergeCell ref="B203:D203"/>
    <mergeCell ref="E203:H203"/>
    <mergeCell ref="C195:D195"/>
    <mergeCell ref="E195:F195"/>
    <mergeCell ref="G195:S195"/>
    <mergeCell ref="T195:U195"/>
    <mergeCell ref="V195:X195"/>
    <mergeCell ref="Y195:AA195"/>
    <mergeCell ref="AB195:AE195"/>
    <mergeCell ref="AF195:AH195"/>
    <mergeCell ref="AI195:AN195"/>
    <mergeCell ref="C196:D196"/>
    <mergeCell ref="E196:F196"/>
    <mergeCell ref="G196:S196"/>
    <mergeCell ref="T196:U196"/>
    <mergeCell ref="V196:X196"/>
    <mergeCell ref="Y196:AA196"/>
    <mergeCell ref="AB196:AE196"/>
    <mergeCell ref="AF196:AH196"/>
    <mergeCell ref="AI196:AN196"/>
    <mergeCell ref="Y124:AA124"/>
    <mergeCell ref="AB124:AE124"/>
    <mergeCell ref="AF124:AH124"/>
    <mergeCell ref="AI124:AN124"/>
    <mergeCell ref="V197:X197"/>
    <mergeCell ref="Y197:AA197"/>
    <mergeCell ref="AB197:AE197"/>
    <mergeCell ref="AF197:AH197"/>
    <mergeCell ref="AI197:AN197"/>
    <mergeCell ref="B197:U197"/>
    <mergeCell ref="C193:D193"/>
    <mergeCell ref="E193:F193"/>
    <mergeCell ref="G193:S193"/>
    <mergeCell ref="T193:U193"/>
    <mergeCell ref="V193:X193"/>
    <mergeCell ref="Y193:AA193"/>
    <mergeCell ref="AB193:AE193"/>
    <mergeCell ref="AF193:AH193"/>
    <mergeCell ref="AI193:AN193"/>
    <mergeCell ref="C194:D194"/>
    <mergeCell ref="E194:F194"/>
    <mergeCell ref="G194:S194"/>
    <mergeCell ref="T194:U194"/>
    <mergeCell ref="V194:X194"/>
    <mergeCell ref="Y194:AA194"/>
    <mergeCell ref="AB194:AE194"/>
    <mergeCell ref="AF194:AH194"/>
    <mergeCell ref="AI194:AN194"/>
    <mergeCell ref="C191:D191"/>
    <mergeCell ref="E191:F191"/>
    <mergeCell ref="G191:S191"/>
    <mergeCell ref="T191:U191"/>
  </mergeCells>
  <phoneticPr fontId="0" type="noConversion"/>
  <printOptions horizontalCentered="1"/>
  <pageMargins left="0.19685039370078741" right="0.19685039370078741" top="0.78740157480314965" bottom="0.39370078740157483" header="0.51181102362204722" footer="0.11811023622047245"/>
  <pageSetup paperSize="9" scale="88" orientation="landscape" r:id="rId1"/>
  <headerFooter alignWithMargins="0"/>
  <rowBreaks count="3" manualBreakCount="3">
    <brk id="39" min="1" max="39" man="1"/>
    <brk id="57" min="1" max="39" man="1"/>
    <brk id="69" min="1" max="3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G18"/>
  <sheetViews>
    <sheetView view="pageBreakPreview" topLeftCell="A4" zoomScale="110" zoomScaleSheetLayoutView="110" workbookViewId="0">
      <selection activeCell="G12" sqref="G12"/>
    </sheetView>
  </sheetViews>
  <sheetFormatPr defaultRowHeight="12.75" x14ac:dyDescent="0.2"/>
  <cols>
    <col min="2" max="2" width="27.42578125" customWidth="1"/>
    <col min="3" max="3" width="21.140625" customWidth="1"/>
    <col min="4" max="4" width="21.28515625" customWidth="1"/>
    <col min="5" max="5" width="19.140625" customWidth="1"/>
    <col min="7" max="7" width="10.5703125" bestFit="1" customWidth="1"/>
  </cols>
  <sheetData>
    <row r="1" spans="1:7" ht="18" x14ac:dyDescent="0.25">
      <c r="A1" s="468" t="s">
        <v>70</v>
      </c>
      <c r="B1" s="468"/>
      <c r="C1" s="468"/>
      <c r="D1" s="468"/>
      <c r="E1" s="468"/>
      <c r="F1" s="84"/>
      <c r="G1" s="84"/>
    </row>
    <row r="2" spans="1:7" x14ac:dyDescent="0.2">
      <c r="A2" s="637" t="s">
        <v>116</v>
      </c>
      <c r="B2" s="637"/>
      <c r="C2" s="637"/>
      <c r="D2" s="637"/>
      <c r="E2" s="637"/>
      <c r="F2" s="85"/>
      <c r="G2" s="85"/>
    </row>
    <row r="4" spans="1:7" x14ac:dyDescent="0.2">
      <c r="A4" s="637" t="s">
        <v>117</v>
      </c>
      <c r="B4" s="637"/>
      <c r="C4" s="637"/>
      <c r="D4" s="637"/>
      <c r="E4" s="637"/>
      <c r="F4" s="85"/>
      <c r="G4" s="85"/>
    </row>
    <row r="5" spans="1:7" ht="13.5" thickBot="1" x14ac:dyDescent="0.25"/>
    <row r="6" spans="1:7" x14ac:dyDescent="0.2">
      <c r="A6" s="638" t="s">
        <v>118</v>
      </c>
      <c r="B6" s="639"/>
      <c r="C6" s="640" t="s">
        <v>119</v>
      </c>
      <c r="D6" s="640" t="s">
        <v>120</v>
      </c>
      <c r="E6" s="642" t="s">
        <v>121</v>
      </c>
    </row>
    <row r="7" spans="1:7" x14ac:dyDescent="0.2">
      <c r="A7" s="86" t="s">
        <v>122</v>
      </c>
      <c r="B7" s="87" t="s">
        <v>123</v>
      </c>
      <c r="C7" s="641"/>
      <c r="D7" s="641"/>
      <c r="E7" s="643"/>
    </row>
    <row r="8" spans="1:7" x14ac:dyDescent="0.2">
      <c r="A8" s="86" t="s">
        <v>124</v>
      </c>
      <c r="B8" s="87" t="s">
        <v>125</v>
      </c>
      <c r="C8" s="88"/>
      <c r="D8" s="88"/>
      <c r="E8" s="89"/>
    </row>
    <row r="9" spans="1:7" x14ac:dyDescent="0.2">
      <c r="A9" s="86" t="s">
        <v>126</v>
      </c>
      <c r="B9" s="87" t="s">
        <v>127</v>
      </c>
      <c r="C9" s="90">
        <f>E9*0.980392156</f>
        <v>124599.71557662677</v>
      </c>
      <c r="D9" s="90">
        <f>E9*0.019607843</f>
        <v>2491.9942962815303</v>
      </c>
      <c r="E9" s="91">
        <v>127091.71</v>
      </c>
    </row>
    <row r="10" spans="1:7" x14ac:dyDescent="0.2">
      <c r="A10" s="86" t="s">
        <v>128</v>
      </c>
      <c r="B10" s="93" t="s">
        <v>114</v>
      </c>
      <c r="C10" s="90">
        <f>E10*0.980392156</f>
        <v>17029.239200700544</v>
      </c>
      <c r="D10" s="90">
        <f>E10*0.019607843</f>
        <v>340.58478192963202</v>
      </c>
      <c r="E10" s="91">
        <f>'PLANILHA CAIXA'!AI52</f>
        <v>17369.824000000001</v>
      </c>
    </row>
    <row r="11" spans="1:7" x14ac:dyDescent="0.2">
      <c r="A11" s="95" t="s">
        <v>142</v>
      </c>
      <c r="B11" s="93" t="s">
        <v>130</v>
      </c>
      <c r="C11" s="90">
        <f>E11*0.980392156</f>
        <v>31432.533011555061</v>
      </c>
      <c r="D11" s="90">
        <f>E11*0.019607843</f>
        <v>628.65065638375916</v>
      </c>
      <c r="E11" s="91">
        <f>'PLANILHA CAIXA'!AI54</f>
        <v>32061.183700000005</v>
      </c>
      <c r="G11" s="92"/>
    </row>
    <row r="12" spans="1:7" x14ac:dyDescent="0.2">
      <c r="A12" s="95" t="s">
        <v>143</v>
      </c>
      <c r="B12" s="93" t="s">
        <v>140</v>
      </c>
      <c r="C12" s="90">
        <f>E12*0.980392156</f>
        <v>2314.7411744336159</v>
      </c>
      <c r="D12" s="90">
        <f>E12*0.019607843</f>
        <v>46.294823205348003</v>
      </c>
      <c r="E12" s="91">
        <f>'PLANILHA CAIXA'!AI58</f>
        <v>2361.0360000000001</v>
      </c>
      <c r="G12" s="92"/>
    </row>
    <row r="13" spans="1:7" x14ac:dyDescent="0.2">
      <c r="A13" s="95" t="s">
        <v>144</v>
      </c>
      <c r="B13" s="93" t="s">
        <v>141</v>
      </c>
      <c r="C13" s="90" t="e">
        <f>E13*0.980392156</f>
        <v>#REF!</v>
      </c>
      <c r="D13" s="90" t="e">
        <f>E13*0.019607843</f>
        <v>#REF!</v>
      </c>
      <c r="E13" s="91" t="e">
        <f>'PLANILHA CAIXA'!#REF!</f>
        <v>#REF!</v>
      </c>
      <c r="G13" s="94"/>
    </row>
    <row r="14" spans="1:7" ht="13.5" thickBot="1" x14ac:dyDescent="0.25">
      <c r="A14" s="633" t="s">
        <v>129</v>
      </c>
      <c r="B14" s="634"/>
      <c r="C14" s="634"/>
      <c r="D14" s="635"/>
      <c r="E14" s="96" t="e">
        <f>SUM(E9:E13)</f>
        <v>#REF!</v>
      </c>
    </row>
    <row r="15" spans="1:7" x14ac:dyDescent="0.2">
      <c r="D15" s="94"/>
    </row>
    <row r="18" spans="1:5" x14ac:dyDescent="0.2">
      <c r="A18" s="636" t="s">
        <v>147</v>
      </c>
      <c r="B18" s="636"/>
      <c r="C18" s="636"/>
      <c r="D18" s="636"/>
      <c r="E18" s="636"/>
    </row>
  </sheetData>
  <mergeCells count="9">
    <mergeCell ref="A14:D14"/>
    <mergeCell ref="A18:E18"/>
    <mergeCell ref="A1:E1"/>
    <mergeCell ref="A2:E2"/>
    <mergeCell ref="A4:E4"/>
    <mergeCell ref="A6:B6"/>
    <mergeCell ref="C6:C7"/>
    <mergeCell ref="D6:D7"/>
    <mergeCell ref="E6:E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2:G35"/>
  <sheetViews>
    <sheetView workbookViewId="0">
      <selection activeCell="A3" sqref="A3"/>
    </sheetView>
  </sheetViews>
  <sheetFormatPr defaultRowHeight="12.75" x14ac:dyDescent="0.2"/>
  <cols>
    <col min="1" max="1" width="40.28515625" customWidth="1"/>
    <col min="2" max="2" width="20.7109375" customWidth="1"/>
    <col min="3" max="3" width="20.42578125" customWidth="1"/>
    <col min="4" max="4" width="22.5703125" customWidth="1"/>
    <col min="7" max="7" width="28.140625" customWidth="1"/>
  </cols>
  <sheetData>
    <row r="2" spans="1:7" x14ac:dyDescent="0.2">
      <c r="A2" s="644"/>
      <c r="B2" s="644"/>
      <c r="C2" s="644"/>
      <c r="D2" s="644"/>
      <c r="E2" s="644"/>
      <c r="F2" s="644"/>
      <c r="G2" s="644"/>
    </row>
    <row r="3" spans="1:7" ht="15.75" x14ac:dyDescent="0.2">
      <c r="A3" s="99"/>
      <c r="B3" s="99"/>
      <c r="C3" s="99"/>
      <c r="D3" s="99"/>
      <c r="E3" s="647"/>
      <c r="F3" s="647"/>
      <c r="G3" s="100"/>
    </row>
    <row r="4" spans="1:7" ht="15.75" x14ac:dyDescent="0.2">
      <c r="A4" s="99"/>
      <c r="B4" s="103"/>
      <c r="C4" s="102"/>
      <c r="D4" s="102"/>
      <c r="E4" s="645"/>
      <c r="F4" s="645"/>
      <c r="G4" s="70"/>
    </row>
    <row r="5" spans="1:7" ht="15" x14ac:dyDescent="0.2">
      <c r="A5" s="106"/>
      <c r="B5" s="107"/>
      <c r="C5" s="102"/>
      <c r="D5" s="102"/>
      <c r="E5" s="645"/>
      <c r="F5" s="645"/>
      <c r="G5" s="104"/>
    </row>
    <row r="6" spans="1:7" ht="15" x14ac:dyDescent="0.2">
      <c r="A6" s="79"/>
      <c r="B6" s="107"/>
      <c r="C6" s="102"/>
      <c r="D6" s="102"/>
      <c r="E6" s="645"/>
      <c r="F6" s="645"/>
      <c r="G6" s="104"/>
    </row>
    <row r="7" spans="1:7" ht="15" x14ac:dyDescent="0.2">
      <c r="A7" s="79"/>
      <c r="B7" s="107"/>
      <c r="C7" s="102"/>
      <c r="D7" s="102"/>
      <c r="E7" s="645"/>
      <c r="F7" s="645"/>
      <c r="G7" s="104"/>
    </row>
    <row r="8" spans="1:7" ht="15" x14ac:dyDescent="0.2">
      <c r="A8" s="79"/>
      <c r="B8" s="107"/>
      <c r="C8" s="102"/>
      <c r="D8" s="102"/>
      <c r="E8" s="645"/>
      <c r="F8" s="645"/>
      <c r="G8" s="104"/>
    </row>
    <row r="9" spans="1:7" ht="15" x14ac:dyDescent="0.2">
      <c r="A9" s="79"/>
      <c r="B9" s="107"/>
      <c r="C9" s="105"/>
      <c r="D9" s="102"/>
      <c r="E9" s="645"/>
      <c r="F9" s="645"/>
      <c r="G9" s="104"/>
    </row>
    <row r="10" spans="1:7" ht="15" x14ac:dyDescent="0.2">
      <c r="A10" s="79"/>
      <c r="B10" s="107"/>
      <c r="C10" s="105"/>
      <c r="D10" s="105"/>
      <c r="E10" s="645"/>
      <c r="F10" s="645"/>
      <c r="G10" s="79"/>
    </row>
    <row r="11" spans="1:7" ht="15" x14ac:dyDescent="0.2">
      <c r="A11" s="79"/>
      <c r="B11" s="107"/>
      <c r="C11" s="105"/>
      <c r="D11" s="105"/>
      <c r="E11" s="645"/>
      <c r="F11" s="645"/>
      <c r="G11" s="79"/>
    </row>
    <row r="12" spans="1:7" ht="15" x14ac:dyDescent="0.2">
      <c r="A12" s="79"/>
      <c r="B12" s="107"/>
      <c r="C12" s="105"/>
      <c r="D12" s="105"/>
      <c r="E12" s="645"/>
      <c r="F12" s="645"/>
      <c r="G12" s="79"/>
    </row>
    <row r="13" spans="1:7" ht="15" x14ac:dyDescent="0.2">
      <c r="A13" s="79"/>
      <c r="B13" s="107"/>
      <c r="C13" s="105"/>
      <c r="D13" s="105"/>
      <c r="E13" s="645"/>
      <c r="F13" s="645"/>
      <c r="G13" s="79"/>
    </row>
    <row r="14" spans="1:7" ht="15" x14ac:dyDescent="0.2">
      <c r="A14" s="79"/>
      <c r="B14" s="107"/>
      <c r="C14" s="105"/>
      <c r="D14" s="105"/>
      <c r="E14" s="645"/>
      <c r="F14" s="645"/>
      <c r="G14" s="79"/>
    </row>
    <row r="15" spans="1:7" ht="15.75" x14ac:dyDescent="0.25">
      <c r="A15" s="73"/>
      <c r="B15" s="101"/>
      <c r="C15" s="71"/>
      <c r="D15" s="71"/>
      <c r="E15" s="646"/>
      <c r="F15" s="646"/>
      <c r="G15" s="82"/>
    </row>
    <row r="16" spans="1:7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644"/>
      <c r="B19" s="644"/>
      <c r="C19" s="644"/>
      <c r="D19" s="644"/>
      <c r="E19" s="644"/>
      <c r="F19" s="644"/>
      <c r="G19" s="644"/>
    </row>
    <row r="20" spans="1:7" ht="15.75" x14ac:dyDescent="0.2">
      <c r="A20" s="99"/>
      <c r="B20" s="99"/>
      <c r="C20" s="99"/>
      <c r="D20" s="99"/>
      <c r="E20" s="647"/>
      <c r="F20" s="647"/>
      <c r="G20" s="100"/>
    </row>
    <row r="21" spans="1:7" ht="15.75" x14ac:dyDescent="0.2">
      <c r="A21" s="99"/>
      <c r="B21" s="103"/>
      <c r="C21" s="102"/>
      <c r="D21" s="102"/>
      <c r="E21" s="645"/>
      <c r="F21" s="645"/>
      <c r="G21" s="70"/>
    </row>
    <row r="22" spans="1:7" ht="15" x14ac:dyDescent="0.2">
      <c r="A22" s="106"/>
      <c r="B22" s="107"/>
      <c r="C22" s="102"/>
      <c r="D22" s="102"/>
      <c r="E22" s="645"/>
      <c r="F22" s="645"/>
      <c r="G22" s="104"/>
    </row>
    <row r="23" spans="1:7" ht="15" x14ac:dyDescent="0.2">
      <c r="A23" s="79"/>
      <c r="B23" s="107"/>
      <c r="C23" s="102"/>
      <c r="D23" s="102"/>
      <c r="E23" s="645"/>
      <c r="F23" s="645"/>
      <c r="G23" s="104"/>
    </row>
    <row r="24" spans="1:7" ht="15" x14ac:dyDescent="0.2">
      <c r="A24" s="79"/>
      <c r="B24" s="107"/>
      <c r="C24" s="102"/>
      <c r="D24" s="102"/>
      <c r="E24" s="645"/>
      <c r="F24" s="645"/>
      <c r="G24" s="104"/>
    </row>
    <row r="25" spans="1:7" ht="33.75" customHeight="1" x14ac:dyDescent="0.2">
      <c r="A25" s="79"/>
      <c r="B25" s="107"/>
      <c r="C25" s="102"/>
      <c r="D25" s="102"/>
      <c r="E25" s="648"/>
      <c r="F25" s="648"/>
      <c r="G25" s="104"/>
    </row>
    <row r="26" spans="1:7" ht="15" x14ac:dyDescent="0.2">
      <c r="A26" s="79"/>
      <c r="B26" s="107"/>
      <c r="C26" s="102"/>
      <c r="D26" s="102"/>
      <c r="E26" s="645"/>
      <c r="F26" s="645"/>
      <c r="G26" s="104"/>
    </row>
    <row r="27" spans="1:7" ht="30" customHeight="1" x14ac:dyDescent="0.2">
      <c r="A27" s="79"/>
      <c r="B27" s="107"/>
      <c r="C27" s="102"/>
      <c r="D27" s="105"/>
      <c r="E27" s="648"/>
      <c r="F27" s="648"/>
      <c r="G27" s="79"/>
    </row>
    <row r="28" spans="1:7" ht="15" x14ac:dyDescent="0.2">
      <c r="A28" s="79"/>
      <c r="B28" s="107"/>
      <c r="C28" s="102"/>
      <c r="D28" s="105"/>
      <c r="E28" s="645"/>
      <c r="F28" s="645"/>
      <c r="G28" s="79"/>
    </row>
    <row r="29" spans="1:7" ht="15" x14ac:dyDescent="0.2">
      <c r="A29" s="79"/>
      <c r="B29" s="107"/>
      <c r="C29" s="102"/>
      <c r="D29" s="105"/>
      <c r="E29" s="645"/>
      <c r="F29" s="645"/>
      <c r="G29" s="79"/>
    </row>
    <row r="30" spans="1:7" ht="15" x14ac:dyDescent="0.2">
      <c r="A30" s="79"/>
      <c r="B30" s="107"/>
      <c r="C30" s="102"/>
      <c r="D30" s="105"/>
      <c r="E30" s="645"/>
      <c r="F30" s="645"/>
      <c r="G30" s="79"/>
    </row>
    <row r="31" spans="1:7" ht="15" x14ac:dyDescent="0.2">
      <c r="A31" s="79"/>
      <c r="B31" s="107"/>
      <c r="C31" s="105"/>
      <c r="D31" s="105"/>
      <c r="E31" s="645"/>
      <c r="F31" s="645"/>
      <c r="G31" s="79"/>
    </row>
    <row r="32" spans="1:7" ht="15.75" x14ac:dyDescent="0.25">
      <c r="A32" s="73"/>
      <c r="B32" s="101"/>
      <c r="C32" s="71"/>
      <c r="D32" s="71"/>
      <c r="E32" s="646"/>
      <c r="F32" s="646"/>
      <c r="G32" s="82"/>
    </row>
    <row r="33" spans="1:7" x14ac:dyDescent="0.2">
      <c r="A33" s="70"/>
      <c r="B33" s="70"/>
      <c r="C33" s="70"/>
      <c r="D33" s="70"/>
      <c r="E33" s="70"/>
      <c r="F33" s="70"/>
      <c r="G33" s="70"/>
    </row>
    <row r="34" spans="1:7" x14ac:dyDescent="0.2">
      <c r="A34" s="70"/>
      <c r="B34" s="70"/>
      <c r="C34" s="70"/>
      <c r="D34" s="70"/>
      <c r="E34" s="70"/>
      <c r="F34" s="70"/>
      <c r="G34" s="70"/>
    </row>
    <row r="35" spans="1:7" x14ac:dyDescent="0.2">
      <c r="A35" s="70"/>
      <c r="B35" s="70"/>
      <c r="C35" s="70"/>
      <c r="D35" s="70"/>
      <c r="E35" s="70"/>
      <c r="F35" s="70"/>
      <c r="G35" s="70"/>
    </row>
  </sheetData>
  <mergeCells count="28">
    <mergeCell ref="E31:F31"/>
    <mergeCell ref="E32:F32"/>
    <mergeCell ref="E25:F25"/>
    <mergeCell ref="E26:F26"/>
    <mergeCell ref="E27:F27"/>
    <mergeCell ref="E28:F28"/>
    <mergeCell ref="E29:F29"/>
    <mergeCell ref="E30:F30"/>
    <mergeCell ref="E24:F24"/>
    <mergeCell ref="E10:F10"/>
    <mergeCell ref="E11:F11"/>
    <mergeCell ref="E12:F12"/>
    <mergeCell ref="E13:F13"/>
    <mergeCell ref="E14:F14"/>
    <mergeCell ref="A19:G19"/>
    <mergeCell ref="E20:F20"/>
    <mergeCell ref="E21:F21"/>
    <mergeCell ref="E22:F22"/>
    <mergeCell ref="E23:F23"/>
    <mergeCell ref="A2:G2"/>
    <mergeCell ref="E9:F9"/>
    <mergeCell ref="E15:F15"/>
    <mergeCell ref="E3:F3"/>
    <mergeCell ref="E4:F4"/>
    <mergeCell ref="E5:F5"/>
    <mergeCell ref="E6:F6"/>
    <mergeCell ref="E7:F7"/>
    <mergeCell ref="E8:F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2:M37"/>
  <sheetViews>
    <sheetView topLeftCell="A13" workbookViewId="0">
      <selection activeCell="L21" sqref="L21"/>
    </sheetView>
  </sheetViews>
  <sheetFormatPr defaultRowHeight="12.75" x14ac:dyDescent="0.2"/>
  <cols>
    <col min="1" max="1" width="6.5703125" customWidth="1"/>
    <col min="2" max="2" width="5.7109375" customWidth="1"/>
    <col min="3" max="3" width="11.42578125" customWidth="1"/>
    <col min="4" max="4" width="32.7109375" customWidth="1"/>
    <col min="5" max="5" width="27.85546875" customWidth="1"/>
    <col min="6" max="6" width="21.85546875" customWidth="1"/>
    <col min="7" max="7" width="22.140625" customWidth="1"/>
    <col min="8" max="8" width="13.5703125" customWidth="1"/>
    <col min="9" max="9" width="16.28515625" customWidth="1"/>
    <col min="11" max="11" width="0.140625" customWidth="1"/>
  </cols>
  <sheetData>
    <row r="2" spans="1:9" x14ac:dyDescent="0.2">
      <c r="A2" s="70"/>
      <c r="B2" s="70"/>
      <c r="C2" s="70"/>
      <c r="D2" s="70"/>
      <c r="E2" s="70"/>
      <c r="F2" s="70"/>
      <c r="G2" s="70"/>
      <c r="H2" s="70"/>
      <c r="I2" s="70"/>
    </row>
    <row r="3" spans="1:9" x14ac:dyDescent="0.2">
      <c r="A3" s="70"/>
      <c r="B3" s="70"/>
      <c r="C3" s="70"/>
      <c r="D3" s="70"/>
      <c r="E3" s="70"/>
      <c r="F3" s="70"/>
      <c r="G3" s="70"/>
      <c r="H3" s="70"/>
      <c r="I3" s="70"/>
    </row>
    <row r="4" spans="1:9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18" x14ac:dyDescent="0.25">
      <c r="A5" s="129" t="s">
        <v>183</v>
      </c>
      <c r="B5" s="70"/>
      <c r="C5" s="70"/>
      <c r="D5" s="70"/>
      <c r="E5" s="70"/>
      <c r="F5" s="70"/>
      <c r="G5" s="70"/>
      <c r="H5" s="70"/>
      <c r="I5" s="70"/>
    </row>
    <row r="6" spans="1:9" ht="18" x14ac:dyDescent="0.25">
      <c r="A6" s="129"/>
      <c r="B6" s="70"/>
      <c r="C6" s="70"/>
      <c r="D6" s="70"/>
      <c r="E6" s="70"/>
      <c r="F6" s="70"/>
      <c r="G6" s="70"/>
      <c r="H6" s="70"/>
      <c r="I6" s="70"/>
    </row>
    <row r="7" spans="1:9" ht="15" x14ac:dyDescent="0.25">
      <c r="A7" s="157"/>
      <c r="B7" s="70"/>
      <c r="C7" s="70"/>
      <c r="D7" s="70"/>
      <c r="E7" s="70"/>
      <c r="F7" s="70"/>
      <c r="G7" s="649"/>
      <c r="H7" s="649"/>
      <c r="I7" s="649"/>
    </row>
    <row r="8" spans="1:9" ht="18.75" thickBot="1" x14ac:dyDescent="0.3">
      <c r="A8" s="129" t="s">
        <v>184</v>
      </c>
      <c r="B8" s="70"/>
      <c r="C8" s="70"/>
      <c r="D8" s="70"/>
      <c r="E8" s="70"/>
      <c r="F8" s="70"/>
      <c r="G8" s="319">
        <v>245850</v>
      </c>
      <c r="H8" s="319">
        <f>G8/E23</f>
        <v>0.48592658102864461</v>
      </c>
      <c r="I8" s="70"/>
    </row>
    <row r="9" spans="1:9" ht="15" x14ac:dyDescent="0.2">
      <c r="A9" s="70"/>
      <c r="B9" s="158" t="s">
        <v>220</v>
      </c>
      <c r="C9" s="159"/>
      <c r="D9" s="160" t="str">
        <f>'PLANILHA CAIXA'!AE7</f>
        <v>N°866623/2018MCIDADES/CAIXA</v>
      </c>
      <c r="E9" s="160"/>
      <c r="F9" s="159"/>
      <c r="G9" s="159"/>
      <c r="H9" s="159"/>
      <c r="I9" s="161"/>
    </row>
    <row r="10" spans="1:9" ht="15" x14ac:dyDescent="0.2">
      <c r="A10" s="70"/>
      <c r="B10" s="83" t="s">
        <v>199</v>
      </c>
      <c r="C10" s="162"/>
      <c r="D10" s="163" t="s">
        <v>427</v>
      </c>
      <c r="E10" s="163"/>
      <c r="F10" s="162"/>
      <c r="G10" s="162"/>
      <c r="H10" s="162"/>
      <c r="I10" s="9"/>
    </row>
    <row r="11" spans="1:9" ht="15.75" thickBot="1" x14ac:dyDescent="0.25">
      <c r="A11" s="70"/>
      <c r="B11" s="164" t="s">
        <v>428</v>
      </c>
      <c r="C11" s="152"/>
      <c r="D11" s="165" t="s">
        <v>429</v>
      </c>
      <c r="E11" s="165"/>
      <c r="F11" s="152"/>
      <c r="G11" s="152"/>
      <c r="H11" s="152"/>
      <c r="I11" s="166"/>
    </row>
    <row r="12" spans="1:9" ht="15.75" thickBot="1" x14ac:dyDescent="0.25">
      <c r="A12" s="70"/>
      <c r="B12" s="165" t="s">
        <v>148</v>
      </c>
      <c r="C12" s="165"/>
      <c r="D12" s="165"/>
      <c r="E12" s="165"/>
      <c r="F12" s="165"/>
      <c r="G12" s="165"/>
      <c r="H12" s="165"/>
      <c r="I12" s="165"/>
    </row>
    <row r="13" spans="1:9" ht="18" x14ac:dyDescent="0.25">
      <c r="A13" s="129" t="s">
        <v>185</v>
      </c>
      <c r="B13" s="131"/>
      <c r="C13" s="131"/>
      <c r="D13" s="131"/>
      <c r="E13" s="131"/>
      <c r="F13" s="131"/>
      <c r="G13" s="131"/>
      <c r="H13" s="131"/>
      <c r="I13" s="131"/>
    </row>
    <row r="14" spans="1:9" ht="13.5" thickBot="1" x14ac:dyDescent="0.25">
      <c r="A14" s="167"/>
      <c r="B14" s="70"/>
      <c r="C14" s="70"/>
      <c r="D14" s="70"/>
      <c r="E14" s="70"/>
      <c r="F14" s="70"/>
      <c r="G14" s="70"/>
      <c r="H14" s="70"/>
      <c r="I14" s="70"/>
    </row>
    <row r="15" spans="1:9" ht="16.5" thickBot="1" x14ac:dyDescent="0.3">
      <c r="A15" s="132" t="s">
        <v>0</v>
      </c>
      <c r="B15" s="133" t="s">
        <v>186</v>
      </c>
      <c r="C15" s="134"/>
      <c r="D15" s="133"/>
      <c r="E15" s="135" t="s">
        <v>200</v>
      </c>
      <c r="F15" s="135" t="s">
        <v>188</v>
      </c>
      <c r="G15" s="136" t="s">
        <v>187</v>
      </c>
      <c r="H15" s="135" t="s">
        <v>189</v>
      </c>
      <c r="I15" s="135" t="s">
        <v>190</v>
      </c>
    </row>
    <row r="16" spans="1:9" ht="16.5" thickBot="1" x14ac:dyDescent="0.3">
      <c r="A16" s="307">
        <v>1</v>
      </c>
      <c r="B16" s="652" t="s">
        <v>285</v>
      </c>
      <c r="C16" s="653"/>
      <c r="D16" s="654"/>
      <c r="E16" s="168">
        <f>CRONOGRAMA!D13</f>
        <v>1896.93</v>
      </c>
      <c r="F16" s="168">
        <f>E16*CRONOGRAMA!E25</f>
        <v>1878.2274913920878</v>
      </c>
      <c r="G16" s="138">
        <f t="shared" ref="G16:G21" si="0">E16-F16</f>
        <v>18.70250860791225</v>
      </c>
      <c r="H16" s="169" t="s">
        <v>191</v>
      </c>
      <c r="I16" s="301" t="s">
        <v>192</v>
      </c>
    </row>
    <row r="17" spans="1:13" ht="15.75" thickBot="1" x14ac:dyDescent="0.25">
      <c r="A17" s="137">
        <v>2</v>
      </c>
      <c r="B17" s="652" t="s">
        <v>329</v>
      </c>
      <c r="C17" s="653"/>
      <c r="D17" s="654"/>
      <c r="E17" s="168">
        <f>CRONOGRAMA!D14</f>
        <v>136993.26605000001</v>
      </c>
      <c r="F17" s="168">
        <f>E17*CRONOGRAMA!E25</f>
        <v>135642.60063929632</v>
      </c>
      <c r="G17" s="138">
        <f t="shared" si="0"/>
        <v>1350.6654107036884</v>
      </c>
      <c r="H17" s="169" t="s">
        <v>191</v>
      </c>
      <c r="I17" s="170" t="s">
        <v>192</v>
      </c>
      <c r="K17" s="171">
        <v>0.91758510000000004</v>
      </c>
    </row>
    <row r="18" spans="1:13" ht="15.75" thickBot="1" x14ac:dyDescent="0.25">
      <c r="A18" s="137">
        <v>3</v>
      </c>
      <c r="B18" s="652" t="s">
        <v>330</v>
      </c>
      <c r="C18" s="653"/>
      <c r="D18" s="654"/>
      <c r="E18" s="168">
        <f>CRONOGRAMA!D15</f>
        <v>105078.33627999999</v>
      </c>
      <c r="F18" s="168">
        <f>E18*CRONOGRAMA!E25</f>
        <v>104042.33153086228</v>
      </c>
      <c r="G18" s="138">
        <f t="shared" si="0"/>
        <v>1036.0047491377045</v>
      </c>
      <c r="H18" s="169" t="s">
        <v>191</v>
      </c>
      <c r="I18" s="170" t="s">
        <v>192</v>
      </c>
    </row>
    <row r="19" spans="1:13" ht="15.75" thickBot="1" x14ac:dyDescent="0.25">
      <c r="A19" s="137">
        <v>4</v>
      </c>
      <c r="B19" s="652" t="s">
        <v>391</v>
      </c>
      <c r="C19" s="653"/>
      <c r="D19" s="654"/>
      <c r="E19" s="168">
        <f>CRONOGRAMA!D16</f>
        <v>111959.2528</v>
      </c>
      <c r="F19" s="168">
        <f>E19*CRONOGRAMA!E25</f>
        <v>110855.40664372254</v>
      </c>
      <c r="G19" s="138">
        <f t="shared" si="0"/>
        <v>1103.846156277461</v>
      </c>
      <c r="H19" s="169" t="s">
        <v>191</v>
      </c>
      <c r="I19" s="170" t="s">
        <v>192</v>
      </c>
    </row>
    <row r="20" spans="1:13" ht="15.75" thickBot="1" x14ac:dyDescent="0.25">
      <c r="A20" s="137">
        <v>5</v>
      </c>
      <c r="B20" s="652" t="s">
        <v>313</v>
      </c>
      <c r="C20" s="653"/>
      <c r="D20" s="654"/>
      <c r="E20" s="168">
        <f>CRONOGRAMA!D17</f>
        <v>82300.23689</v>
      </c>
      <c r="F20" s="168">
        <f>E20*CRONOGRAMA!E25</f>
        <v>81488.809536925066</v>
      </c>
      <c r="G20" s="138">
        <f t="shared" si="0"/>
        <v>811.42735307493422</v>
      </c>
      <c r="H20" s="169" t="s">
        <v>191</v>
      </c>
      <c r="I20" s="170" t="s">
        <v>192</v>
      </c>
    </row>
    <row r="21" spans="1:13" ht="15.75" thickBot="1" x14ac:dyDescent="0.25">
      <c r="A21" s="137">
        <v>6</v>
      </c>
      <c r="B21" s="652" t="s">
        <v>390</v>
      </c>
      <c r="C21" s="653"/>
      <c r="D21" s="654"/>
      <c r="E21" s="168">
        <f>CRONOGRAMA!D18</f>
        <v>67712.606870000018</v>
      </c>
      <c r="F21" s="168">
        <f>E21*CRONOGRAMA!E25</f>
        <v>67045.004157801697</v>
      </c>
      <c r="G21" s="138">
        <f t="shared" si="0"/>
        <v>667.60271219832066</v>
      </c>
      <c r="H21" s="169" t="s">
        <v>191</v>
      </c>
      <c r="I21" s="170" t="s">
        <v>192</v>
      </c>
    </row>
    <row r="22" spans="1:13" ht="15.75" thickBot="1" x14ac:dyDescent="0.25">
      <c r="A22" s="139"/>
      <c r="B22" s="140"/>
      <c r="C22" s="141"/>
      <c r="D22" s="142"/>
      <c r="E22" s="254"/>
      <c r="F22" s="172"/>
      <c r="G22" s="173"/>
      <c r="H22" s="174" t="s">
        <v>113</v>
      </c>
      <c r="I22" s="175"/>
      <c r="L22" s="258">
        <v>245850</v>
      </c>
      <c r="M22" s="258"/>
    </row>
    <row r="23" spans="1:13" ht="15.75" thickBot="1" x14ac:dyDescent="0.25">
      <c r="A23" s="139" t="s">
        <v>201</v>
      </c>
      <c r="B23" s="140"/>
      <c r="C23" s="141"/>
      <c r="D23" s="142"/>
      <c r="E23" s="308">
        <f>E21+E20+E19+E18+E17+E16</f>
        <v>505940.62888999999</v>
      </c>
      <c r="F23" s="176">
        <f>SUM(F16:F22)</f>
        <v>500952.37999999995</v>
      </c>
      <c r="G23" s="310">
        <f>SUM(G16:G22)</f>
        <v>4988.2488900000208</v>
      </c>
      <c r="H23" s="650">
        <f>G23+F23</f>
        <v>505940.62888999999</v>
      </c>
      <c r="I23" s="651"/>
      <c r="L23" s="258" t="e">
        <f>L22/E22</f>
        <v>#DIV/0!</v>
      </c>
      <c r="M23" s="258"/>
    </row>
    <row r="24" spans="1:13" ht="15.75" thickBot="1" x14ac:dyDescent="0.25">
      <c r="A24" s="139" t="s">
        <v>193</v>
      </c>
      <c r="B24" s="140"/>
      <c r="C24" s="143"/>
      <c r="D24" s="144"/>
      <c r="E24" s="309">
        <v>1</v>
      </c>
      <c r="F24" s="177">
        <f>F23/E23</f>
        <v>0.99014064377287914</v>
      </c>
      <c r="G24" s="177">
        <f>G23/E23</f>
        <v>9.8593562271207715E-3</v>
      </c>
      <c r="H24" s="178"/>
      <c r="I24" s="179"/>
    </row>
    <row r="25" spans="1:13" x14ac:dyDescent="0.2">
      <c r="A25" s="145"/>
      <c r="B25" s="146"/>
      <c r="C25" s="147"/>
      <c r="D25" s="148"/>
      <c r="E25" s="148"/>
      <c r="F25" s="149"/>
      <c r="G25" s="149"/>
      <c r="H25" s="150"/>
      <c r="I25" s="151"/>
    </row>
    <row r="26" spans="1:13" ht="15" x14ac:dyDescent="0.2">
      <c r="A26" s="79"/>
      <c r="B26" s="70"/>
      <c r="C26" s="70"/>
      <c r="D26" s="79"/>
      <c r="E26" s="79"/>
      <c r="F26" s="316">
        <v>245850</v>
      </c>
      <c r="G26" s="162"/>
      <c r="H26" s="162"/>
      <c r="I26" s="162"/>
    </row>
    <row r="27" spans="1:13" ht="15" x14ac:dyDescent="0.2">
      <c r="A27" s="153"/>
      <c r="B27" s="70"/>
      <c r="C27" s="70"/>
      <c r="D27" s="70"/>
      <c r="E27" s="70"/>
      <c r="F27" s="316">
        <f>F26/E23</f>
        <v>0.48592658102864461</v>
      </c>
      <c r="G27" s="155" t="s">
        <v>430</v>
      </c>
      <c r="H27" s="156"/>
      <c r="I27" s="70"/>
    </row>
    <row r="28" spans="1:13" ht="15" x14ac:dyDescent="0.2">
      <c r="A28" s="154" t="s">
        <v>194</v>
      </c>
      <c r="B28" s="70"/>
      <c r="C28" s="70"/>
      <c r="D28" s="70"/>
      <c r="E28" s="70"/>
      <c r="F28" s="70"/>
      <c r="G28" s="155" t="s">
        <v>431</v>
      </c>
      <c r="H28" s="70"/>
      <c r="I28" s="70"/>
    </row>
    <row r="29" spans="1:13" x14ac:dyDescent="0.2">
      <c r="A29" s="157" t="s">
        <v>195</v>
      </c>
      <c r="B29" s="70"/>
      <c r="C29" s="70"/>
      <c r="F29" s="70"/>
    </row>
    <row r="30" spans="1:13" x14ac:dyDescent="0.2">
      <c r="A30" s="70"/>
      <c r="B30" s="70"/>
      <c r="C30" s="70" t="s">
        <v>196</v>
      </c>
      <c r="D30" s="70"/>
      <c r="E30" s="70"/>
      <c r="F30" s="70"/>
    </row>
    <row r="31" spans="1:13" x14ac:dyDescent="0.2">
      <c r="A31" s="157" t="s">
        <v>197</v>
      </c>
      <c r="B31" s="70"/>
      <c r="C31" s="70"/>
      <c r="D31" s="70"/>
      <c r="E31" s="70"/>
      <c r="F31" s="70"/>
      <c r="G31" s="162"/>
      <c r="H31" s="162"/>
      <c r="I31" s="162"/>
    </row>
    <row r="32" spans="1:13" ht="15" x14ac:dyDescent="0.2">
      <c r="A32" s="70"/>
      <c r="B32" s="70"/>
      <c r="C32" s="70" t="s">
        <v>198</v>
      </c>
      <c r="D32" s="70"/>
      <c r="E32" s="70"/>
      <c r="F32" s="70"/>
      <c r="G32" s="155" t="s">
        <v>308</v>
      </c>
      <c r="H32" s="155"/>
      <c r="I32" s="70"/>
    </row>
    <row r="33" spans="1:9" ht="15" x14ac:dyDescent="0.2">
      <c r="A33" s="70"/>
      <c r="B33" s="70"/>
      <c r="D33" s="70"/>
      <c r="E33" s="70"/>
      <c r="F33" s="70"/>
      <c r="G33" s="155"/>
      <c r="H33" s="155"/>
      <c r="I33" s="320"/>
    </row>
    <row r="34" spans="1:9" x14ac:dyDescent="0.2">
      <c r="A34" s="81" t="s">
        <v>406</v>
      </c>
      <c r="G34" s="320"/>
      <c r="H34" s="320"/>
      <c r="I34" s="320"/>
    </row>
    <row r="35" spans="1:9" x14ac:dyDescent="0.2">
      <c r="D35" s="1"/>
      <c r="G35" s="320"/>
      <c r="H35" s="320"/>
      <c r="I35" s="320"/>
    </row>
    <row r="36" spans="1:9" x14ac:dyDescent="0.2">
      <c r="D36" s="1"/>
      <c r="G36" s="320"/>
      <c r="H36" s="320"/>
      <c r="I36" s="320"/>
    </row>
    <row r="37" spans="1:9" x14ac:dyDescent="0.2">
      <c r="D37" s="1"/>
    </row>
  </sheetData>
  <mergeCells count="8">
    <mergeCell ref="G7:I7"/>
    <mergeCell ref="H23:I23"/>
    <mergeCell ref="B17:D17"/>
    <mergeCell ref="B18:D18"/>
    <mergeCell ref="B19:D19"/>
    <mergeCell ref="B20:D20"/>
    <mergeCell ref="B16:D16"/>
    <mergeCell ref="B21:D21"/>
  </mergeCells>
  <pageMargins left="1.0868110236220472" right="0.51181102362204722" top="0.78740157480314965" bottom="0.78740157480314965" header="0.31496062992125984" footer="0.31496062992125984"/>
  <pageSetup paperSize="9" scale="61" orientation="landscape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N71"/>
  <sheetViews>
    <sheetView showGridLines="0" view="pageBreakPreview" topLeftCell="A37" zoomScale="82" zoomScaleSheetLayoutView="82" workbookViewId="0"/>
  </sheetViews>
  <sheetFormatPr defaultRowHeight="12.75" x14ac:dyDescent="0.2"/>
  <cols>
    <col min="1" max="10" width="10" style="285" customWidth="1"/>
    <col min="11" max="16384" width="9.140625" style="285"/>
  </cols>
  <sheetData>
    <row r="1" spans="1:14" s="268" customFormat="1" ht="16.5" customHeight="1" x14ac:dyDescent="0.25">
      <c r="A1" s="259" t="str">
        <f>'[1]MEMÓRIA DE CÁLCULO'!A1</f>
        <v>PREFEITURA MUNICIPAL DE SÃO JOÃO DAS MISSÕES</v>
      </c>
      <c r="B1" s="260"/>
      <c r="C1" s="261"/>
      <c r="D1" s="262"/>
      <c r="E1" s="263"/>
      <c r="F1" s="264"/>
      <c r="G1" s="265"/>
      <c r="H1" s="266"/>
      <c r="I1" s="266"/>
      <c r="J1" s="267"/>
    </row>
    <row r="2" spans="1:14" s="273" customFormat="1" ht="16.5" customHeight="1" x14ac:dyDescent="0.25">
      <c r="A2" s="269" t="s">
        <v>154</v>
      </c>
      <c r="B2" s="270"/>
      <c r="C2" s="270"/>
      <c r="D2" s="270"/>
      <c r="E2" s="270"/>
      <c r="F2" s="270"/>
      <c r="G2" s="270"/>
      <c r="H2" s="271"/>
      <c r="I2" s="271"/>
      <c r="J2" s="272"/>
    </row>
    <row r="3" spans="1:14" s="274" customFormat="1" ht="16.5" customHeight="1" x14ac:dyDescent="0.25">
      <c r="A3" s="275"/>
      <c r="B3" s="276"/>
      <c r="C3" s="261"/>
      <c r="D3" s="264"/>
      <c r="E3" s="277"/>
      <c r="F3" s="278"/>
      <c r="G3" s="279"/>
      <c r="H3" s="279"/>
      <c r="I3" s="279"/>
      <c r="J3" s="280"/>
    </row>
    <row r="4" spans="1:14" ht="18" x14ac:dyDescent="0.25">
      <c r="A4" s="281" t="s">
        <v>233</v>
      </c>
      <c r="B4" s="282"/>
      <c r="C4" s="282"/>
      <c r="D4" s="282"/>
      <c r="E4" s="282"/>
      <c r="F4" s="283"/>
      <c r="G4" s="283" t="s">
        <v>227</v>
      </c>
      <c r="H4" s="282"/>
      <c r="I4" s="282"/>
      <c r="J4" s="284"/>
    </row>
    <row r="5" spans="1:14" x14ac:dyDescent="0.2">
      <c r="A5" s="286"/>
      <c r="B5" s="282"/>
      <c r="C5" s="282"/>
      <c r="D5" s="282"/>
      <c r="E5" s="282"/>
      <c r="F5" s="282"/>
      <c r="G5" s="282"/>
      <c r="H5" s="282"/>
      <c r="I5" s="282"/>
      <c r="J5" s="284"/>
    </row>
    <row r="6" spans="1:14" x14ac:dyDescent="0.2">
      <c r="A6" s="286"/>
      <c r="B6" s="282"/>
      <c r="C6" s="282"/>
      <c r="D6" s="282"/>
      <c r="E6" s="282"/>
      <c r="F6" s="282"/>
      <c r="G6" s="282"/>
      <c r="H6" s="282"/>
      <c r="I6" s="287"/>
      <c r="J6" s="284"/>
    </row>
    <row r="7" spans="1:14" x14ac:dyDescent="0.2">
      <c r="A7" s="286"/>
      <c r="B7" s="282"/>
      <c r="C7" s="282"/>
      <c r="D7" s="282"/>
      <c r="E7" s="282"/>
      <c r="F7" s="282"/>
      <c r="G7" s="282"/>
      <c r="H7" s="282"/>
      <c r="I7" s="282"/>
      <c r="J7" s="284"/>
    </row>
    <row r="8" spans="1:14" x14ac:dyDescent="0.2">
      <c r="A8" s="286"/>
      <c r="B8" s="282"/>
      <c r="C8" s="282"/>
      <c r="D8" s="282"/>
      <c r="E8" s="282"/>
      <c r="F8" s="282"/>
      <c r="G8" s="282"/>
      <c r="H8" s="282"/>
      <c r="I8" s="282"/>
      <c r="J8" s="288"/>
    </row>
    <row r="9" spans="1:14" x14ac:dyDescent="0.2">
      <c r="A9" s="286"/>
      <c r="B9" s="282"/>
      <c r="C9" s="282"/>
      <c r="D9" s="282"/>
      <c r="E9" s="282"/>
      <c r="F9" s="282"/>
      <c r="G9" s="282"/>
      <c r="H9" s="282"/>
      <c r="I9" s="282"/>
      <c r="J9" s="284"/>
    </row>
    <row r="10" spans="1:14" x14ac:dyDescent="0.2">
      <c r="A10" s="286"/>
      <c r="B10" s="282"/>
      <c r="C10" s="282"/>
      <c r="D10" s="282"/>
      <c r="E10" s="282"/>
      <c r="F10" s="282"/>
      <c r="G10" s="282"/>
      <c r="H10" s="282"/>
      <c r="I10" s="282"/>
      <c r="J10" s="284"/>
    </row>
    <row r="11" spans="1:14" x14ac:dyDescent="0.2">
      <c r="A11" s="286"/>
      <c r="B11" s="282"/>
      <c r="C11" s="282"/>
      <c r="D11" s="282"/>
      <c r="E11" s="282"/>
      <c r="F11" s="282"/>
      <c r="G11" s="282"/>
      <c r="H11" s="282"/>
      <c r="I11" s="282"/>
      <c r="J11" s="284"/>
    </row>
    <row r="12" spans="1:14" x14ac:dyDescent="0.2">
      <c r="A12" s="286"/>
      <c r="B12" s="282"/>
      <c r="C12" s="282"/>
      <c r="D12" s="282"/>
      <c r="E12" s="282"/>
      <c r="F12" s="282"/>
      <c r="G12" s="282"/>
      <c r="H12" s="282"/>
      <c r="I12" s="282"/>
      <c r="J12" s="284"/>
    </row>
    <row r="13" spans="1:14" x14ac:dyDescent="0.2">
      <c r="A13" s="286"/>
      <c r="B13" s="282"/>
      <c r="C13" s="282"/>
      <c r="D13" s="282"/>
      <c r="E13" s="282"/>
      <c r="F13" s="282"/>
      <c r="G13" s="282"/>
      <c r="H13" s="282"/>
      <c r="I13" s="282"/>
      <c r="J13" s="284"/>
    </row>
    <row r="14" spans="1:14" ht="17.25" customHeight="1" x14ac:dyDescent="0.2">
      <c r="A14" s="286"/>
      <c r="B14" s="282"/>
      <c r="C14" s="282"/>
      <c r="D14" s="659" t="s">
        <v>226</v>
      </c>
      <c r="E14" s="660"/>
      <c r="F14" s="661"/>
      <c r="G14" s="282"/>
      <c r="H14" s="282"/>
      <c r="I14" s="282"/>
      <c r="J14" s="284"/>
    </row>
    <row r="15" spans="1:14" ht="17.25" customHeight="1" x14ac:dyDescent="0.2">
      <c r="A15" s="286"/>
      <c r="B15" s="282"/>
      <c r="C15" s="282"/>
      <c r="D15" s="289"/>
      <c r="E15" s="662" t="s">
        <v>225</v>
      </c>
      <c r="F15" s="662"/>
      <c r="G15" s="282"/>
      <c r="H15" s="282"/>
      <c r="I15" s="282"/>
      <c r="J15" s="284"/>
    </row>
    <row r="16" spans="1:14" ht="17.25" customHeight="1" x14ac:dyDescent="0.2">
      <c r="A16" s="286"/>
      <c r="B16" s="282"/>
      <c r="C16" s="282"/>
      <c r="D16" s="289"/>
      <c r="E16" s="662" t="s">
        <v>224</v>
      </c>
      <c r="F16" s="662"/>
      <c r="G16" s="282"/>
      <c r="H16" s="282"/>
      <c r="I16" s="282"/>
      <c r="J16" s="284"/>
      <c r="N16" s="290" t="s">
        <v>234</v>
      </c>
    </row>
    <row r="17" spans="1:10" ht="17.25" customHeight="1" x14ac:dyDescent="0.2">
      <c r="A17" s="286"/>
      <c r="B17" s="282"/>
      <c r="C17" s="282"/>
      <c r="D17" s="289"/>
      <c r="E17" s="662" t="s">
        <v>223</v>
      </c>
      <c r="F17" s="662"/>
      <c r="G17" s="282"/>
      <c r="H17" s="282"/>
      <c r="I17" s="282"/>
      <c r="J17" s="284"/>
    </row>
    <row r="18" spans="1:10" x14ac:dyDescent="0.2">
      <c r="A18" s="286"/>
      <c r="B18" s="282"/>
      <c r="C18" s="282"/>
      <c r="D18" s="282"/>
      <c r="E18" s="657"/>
      <c r="F18" s="657"/>
      <c r="G18" s="282"/>
      <c r="H18" s="282"/>
      <c r="I18" s="282"/>
      <c r="J18" s="284"/>
    </row>
    <row r="19" spans="1:10" x14ac:dyDescent="0.2">
      <c r="A19" s="286"/>
      <c r="B19" s="282"/>
      <c r="C19" s="282"/>
      <c r="D19" s="282"/>
      <c r="E19" s="657"/>
      <c r="F19" s="657"/>
      <c r="G19" s="282"/>
      <c r="H19" s="282"/>
      <c r="I19" s="282"/>
      <c r="J19" s="284"/>
    </row>
    <row r="20" spans="1:10" x14ac:dyDescent="0.2">
      <c r="A20" s="286"/>
      <c r="B20" s="282"/>
      <c r="C20" s="282"/>
      <c r="D20" s="282"/>
      <c r="E20" s="657"/>
      <c r="F20" s="657"/>
      <c r="G20" s="282"/>
      <c r="H20" s="282"/>
      <c r="I20" s="282"/>
      <c r="J20" s="284"/>
    </row>
    <row r="21" spans="1:10" x14ac:dyDescent="0.2">
      <c r="A21" s="286"/>
      <c r="B21" s="282"/>
      <c r="C21" s="282"/>
      <c r="D21" s="282"/>
      <c r="E21" s="657"/>
      <c r="F21" s="657"/>
      <c r="G21" s="282"/>
      <c r="H21" s="282"/>
      <c r="I21" s="282"/>
      <c r="J21" s="284"/>
    </row>
    <row r="22" spans="1:10" x14ac:dyDescent="0.2">
      <c r="A22" s="286"/>
      <c r="B22" s="282"/>
      <c r="C22" s="282"/>
      <c r="D22" s="282"/>
      <c r="E22" s="657"/>
      <c r="F22" s="657"/>
      <c r="G22" s="282"/>
      <c r="H22" s="282"/>
      <c r="I22" s="282"/>
      <c r="J22" s="284"/>
    </row>
    <row r="23" spans="1:10" x14ac:dyDescent="0.2">
      <c r="A23" s="286"/>
      <c r="B23" s="282"/>
      <c r="C23" s="282"/>
      <c r="D23" s="282"/>
      <c r="E23" s="657"/>
      <c r="F23" s="657"/>
      <c r="G23" s="282"/>
      <c r="H23" s="282"/>
      <c r="I23" s="282"/>
      <c r="J23" s="284"/>
    </row>
    <row r="24" spans="1:10" x14ac:dyDescent="0.2">
      <c r="A24" s="286"/>
      <c r="B24" s="282"/>
      <c r="C24" s="282"/>
      <c r="D24" s="282"/>
      <c r="E24" s="657"/>
      <c r="F24" s="657"/>
      <c r="G24" s="282"/>
      <c r="H24" s="282"/>
      <c r="I24" s="282"/>
      <c r="J24" s="284"/>
    </row>
    <row r="25" spans="1:10" ht="18" customHeight="1" x14ac:dyDescent="0.25">
      <c r="A25" s="281" t="s">
        <v>222</v>
      </c>
      <c r="B25" s="282"/>
      <c r="C25" s="282"/>
      <c r="D25" s="282"/>
      <c r="E25" s="282"/>
      <c r="F25" s="282"/>
      <c r="G25" s="655" t="s">
        <v>235</v>
      </c>
      <c r="H25" s="655"/>
      <c r="I25" s="655"/>
      <c r="J25" s="658"/>
    </row>
    <row r="26" spans="1:10" ht="14.25" customHeight="1" x14ac:dyDescent="0.2">
      <c r="A26" s="286"/>
      <c r="B26" s="282"/>
      <c r="C26" s="282"/>
      <c r="D26" s="282"/>
      <c r="E26" s="282"/>
      <c r="F26" s="282"/>
      <c r="G26" s="655"/>
      <c r="H26" s="655"/>
      <c r="I26" s="655"/>
      <c r="J26" s="658"/>
    </row>
    <row r="27" spans="1:10" ht="16.5" x14ac:dyDescent="0.25">
      <c r="A27" s="286"/>
      <c r="B27" s="282"/>
      <c r="C27" s="282"/>
      <c r="D27" s="282"/>
      <c r="E27" s="282"/>
      <c r="F27" s="282"/>
      <c r="G27" s="655"/>
      <c r="H27" s="655"/>
      <c r="I27" s="655"/>
      <c r="J27" s="291"/>
    </row>
    <row r="28" spans="1:10" ht="16.5" x14ac:dyDescent="0.25">
      <c r="A28" s="286"/>
      <c r="B28" s="282"/>
      <c r="C28" s="282"/>
      <c r="D28" s="282"/>
      <c r="E28" s="282"/>
      <c r="F28" s="282"/>
      <c r="G28" s="655"/>
      <c r="H28" s="655"/>
      <c r="I28" s="655"/>
      <c r="J28" s="291"/>
    </row>
    <row r="29" spans="1:10" x14ac:dyDescent="0.2">
      <c r="A29" s="286"/>
      <c r="B29" s="282"/>
      <c r="C29" s="282"/>
      <c r="D29" s="282"/>
      <c r="E29" s="282"/>
      <c r="F29" s="282"/>
      <c r="G29" s="282"/>
      <c r="H29" s="282"/>
      <c r="I29" s="282"/>
      <c r="J29" s="284"/>
    </row>
    <row r="30" spans="1:10" x14ac:dyDescent="0.2">
      <c r="A30" s="286"/>
      <c r="B30" s="282"/>
      <c r="C30" s="282"/>
      <c r="D30" s="282"/>
      <c r="E30" s="282"/>
      <c r="F30" s="282"/>
      <c r="G30" s="282"/>
      <c r="H30" s="282"/>
      <c r="I30" s="282"/>
      <c r="J30" s="284"/>
    </row>
    <row r="31" spans="1:10" x14ac:dyDescent="0.2">
      <c r="A31" s="286"/>
      <c r="B31" s="282"/>
      <c r="C31" s="282"/>
      <c r="D31" s="282"/>
      <c r="E31" s="282"/>
      <c r="F31" s="282"/>
      <c r="G31" s="282"/>
      <c r="H31" s="282"/>
      <c r="I31" s="282"/>
      <c r="J31" s="284"/>
    </row>
    <row r="32" spans="1:10" x14ac:dyDescent="0.2">
      <c r="A32" s="286"/>
      <c r="B32" s="282"/>
      <c r="C32" s="282"/>
      <c r="D32" s="282"/>
      <c r="E32" s="282"/>
      <c r="F32" s="282"/>
      <c r="G32" s="282"/>
      <c r="H32" s="282"/>
      <c r="I32" s="282"/>
      <c r="J32" s="284"/>
    </row>
    <row r="33" spans="1:10" x14ac:dyDescent="0.2">
      <c r="A33" s="286"/>
      <c r="B33" s="282"/>
      <c r="C33" s="282"/>
      <c r="D33" s="282"/>
      <c r="E33" s="282"/>
      <c r="F33" s="282"/>
      <c r="G33" s="282"/>
      <c r="H33" s="282"/>
      <c r="I33" s="282"/>
      <c r="J33" s="284"/>
    </row>
    <row r="34" spans="1:10" x14ac:dyDescent="0.2">
      <c r="A34" s="286"/>
      <c r="B34" s="282"/>
      <c r="C34" s="282"/>
      <c r="D34" s="282"/>
      <c r="E34" s="282"/>
      <c r="F34" s="282"/>
      <c r="G34" s="282"/>
      <c r="H34" s="282"/>
      <c r="I34" s="282"/>
      <c r="J34" s="284"/>
    </row>
    <row r="35" spans="1:10" x14ac:dyDescent="0.2">
      <c r="A35" s="286"/>
      <c r="B35" s="282"/>
      <c r="C35" s="282"/>
      <c r="D35" s="282"/>
      <c r="E35" s="282"/>
      <c r="F35" s="282"/>
      <c r="G35" s="282"/>
      <c r="H35" s="282"/>
      <c r="I35" s="282"/>
      <c r="J35" s="284"/>
    </row>
    <row r="36" spans="1:10" x14ac:dyDescent="0.2">
      <c r="A36" s="286"/>
      <c r="B36" s="282"/>
      <c r="C36" s="282"/>
      <c r="D36" s="282"/>
      <c r="E36" s="282"/>
      <c r="F36" s="282"/>
      <c r="G36" s="282"/>
      <c r="H36" s="282"/>
      <c r="I36" s="282"/>
      <c r="J36" s="284"/>
    </row>
    <row r="37" spans="1:10" x14ac:dyDescent="0.2">
      <c r="A37" s="286"/>
      <c r="B37" s="282"/>
      <c r="C37" s="282"/>
      <c r="D37" s="282"/>
      <c r="E37" s="282"/>
      <c r="F37" s="282"/>
      <c r="G37" s="282"/>
      <c r="H37" s="282"/>
      <c r="I37" s="282"/>
      <c r="J37" s="284"/>
    </row>
    <row r="38" spans="1:10" x14ac:dyDescent="0.2">
      <c r="A38" s="286"/>
      <c r="B38" s="282"/>
      <c r="C38" s="282"/>
      <c r="D38" s="282"/>
      <c r="E38" s="282"/>
      <c r="F38" s="282"/>
      <c r="G38" s="282"/>
      <c r="H38" s="282"/>
      <c r="I38" s="282"/>
      <c r="J38" s="284"/>
    </row>
    <row r="39" spans="1:10" x14ac:dyDescent="0.2">
      <c r="A39" s="286"/>
      <c r="B39" s="282"/>
      <c r="C39" s="282"/>
      <c r="D39" s="282"/>
      <c r="E39" s="282"/>
      <c r="F39" s="282"/>
      <c r="G39" s="282"/>
      <c r="H39" s="282"/>
      <c r="I39" s="282"/>
      <c r="J39" s="284"/>
    </row>
    <row r="40" spans="1:10" x14ac:dyDescent="0.2">
      <c r="A40" s="286"/>
      <c r="B40" s="282"/>
      <c r="C40" s="282"/>
      <c r="D40" s="282"/>
      <c r="E40" s="282"/>
      <c r="F40" s="282"/>
      <c r="G40" s="282"/>
      <c r="H40" s="282"/>
      <c r="I40" s="282"/>
      <c r="J40" s="284"/>
    </row>
    <row r="41" spans="1:10" x14ac:dyDescent="0.2">
      <c r="A41" s="286"/>
      <c r="B41" s="282"/>
      <c r="C41" s="282"/>
      <c r="D41" s="282"/>
      <c r="E41" s="282"/>
      <c r="F41" s="282"/>
      <c r="G41" s="282"/>
      <c r="H41" s="282"/>
      <c r="I41" s="282"/>
      <c r="J41" s="284"/>
    </row>
    <row r="42" spans="1:10" x14ac:dyDescent="0.2">
      <c r="A42" s="286"/>
      <c r="B42" s="282"/>
      <c r="C42" s="282"/>
      <c r="D42" s="282"/>
      <c r="E42" s="282"/>
      <c r="F42" s="282"/>
      <c r="G42" s="282"/>
      <c r="H42" s="282"/>
      <c r="I42" s="282"/>
      <c r="J42" s="284"/>
    </row>
    <row r="43" spans="1:10" x14ac:dyDescent="0.2">
      <c r="A43" s="286"/>
      <c r="B43" s="282"/>
      <c r="C43" s="282"/>
      <c r="D43" s="282"/>
      <c r="E43" s="282"/>
      <c r="F43" s="282"/>
      <c r="G43" s="282"/>
      <c r="H43" s="282"/>
      <c r="I43" s="282"/>
      <c r="J43" s="284"/>
    </row>
    <row r="44" spans="1:10" x14ac:dyDescent="0.2">
      <c r="A44" s="286"/>
      <c r="B44" s="282"/>
      <c r="C44" s="282"/>
      <c r="D44" s="282"/>
      <c r="E44" s="282"/>
      <c r="F44" s="282"/>
      <c r="G44" s="282"/>
      <c r="H44" s="282"/>
      <c r="I44" s="282"/>
      <c r="J44" s="284"/>
    </row>
    <row r="45" spans="1:10" x14ac:dyDescent="0.2">
      <c r="A45" s="656" t="s">
        <v>236</v>
      </c>
      <c r="B45" s="655"/>
      <c r="C45" s="655"/>
      <c r="D45" s="655"/>
      <c r="E45" s="282"/>
      <c r="F45" s="282"/>
      <c r="G45" s="282"/>
      <c r="H45" s="282"/>
      <c r="I45" s="282"/>
      <c r="J45" s="284"/>
    </row>
    <row r="46" spans="1:10" x14ac:dyDescent="0.2">
      <c r="A46" s="656"/>
      <c r="B46" s="655"/>
      <c r="C46" s="655"/>
      <c r="D46" s="655"/>
      <c r="E46" s="282"/>
      <c r="F46" s="282"/>
      <c r="G46" s="282"/>
      <c r="H46" s="282"/>
      <c r="I46" s="282"/>
      <c r="J46" s="284"/>
    </row>
    <row r="47" spans="1:10" x14ac:dyDescent="0.2">
      <c r="A47" s="286"/>
      <c r="B47" s="282"/>
      <c r="C47" s="282"/>
      <c r="D47" s="282"/>
      <c r="E47" s="282"/>
      <c r="F47" s="282"/>
      <c r="G47" s="282"/>
      <c r="H47" s="282"/>
      <c r="I47" s="282"/>
      <c r="J47" s="284"/>
    </row>
    <row r="48" spans="1:10" x14ac:dyDescent="0.2">
      <c r="A48" s="286"/>
      <c r="B48" s="282"/>
      <c r="C48" s="282"/>
      <c r="D48" s="282"/>
      <c r="E48" s="282"/>
      <c r="F48" s="282"/>
      <c r="G48" s="282"/>
      <c r="H48" s="282"/>
      <c r="I48" s="282"/>
      <c r="J48" s="284"/>
    </row>
    <row r="49" spans="1:10" x14ac:dyDescent="0.2">
      <c r="A49" s="286"/>
      <c r="B49" s="282"/>
      <c r="C49" s="282"/>
      <c r="D49" s="282"/>
      <c r="E49" s="282"/>
      <c r="F49" s="282"/>
      <c r="G49" s="282"/>
      <c r="H49" s="282"/>
      <c r="I49" s="282"/>
      <c r="J49" s="284"/>
    </row>
    <row r="50" spans="1:10" x14ac:dyDescent="0.2">
      <c r="A50" s="286"/>
      <c r="B50" s="282"/>
      <c r="C50" s="282"/>
      <c r="D50" s="282"/>
      <c r="E50" s="282"/>
      <c r="F50" s="282"/>
      <c r="G50" s="282"/>
      <c r="H50" s="282"/>
      <c r="I50" s="282"/>
      <c r="J50" s="284"/>
    </row>
    <row r="51" spans="1:10" x14ac:dyDescent="0.2">
      <c r="A51" s="286"/>
      <c r="B51" s="282"/>
      <c r="C51" s="282"/>
      <c r="D51" s="282"/>
      <c r="E51" s="282"/>
      <c r="F51" s="282"/>
      <c r="G51" s="282"/>
      <c r="H51" s="282"/>
      <c r="I51" s="282"/>
      <c r="J51" s="284"/>
    </row>
    <row r="52" spans="1:10" x14ac:dyDescent="0.2">
      <c r="A52" s="286"/>
      <c r="B52" s="282"/>
      <c r="C52" s="282"/>
      <c r="D52" s="282"/>
      <c r="E52" s="282"/>
      <c r="F52" s="282"/>
      <c r="G52" s="282"/>
      <c r="H52" s="282"/>
      <c r="I52" s="282"/>
      <c r="J52" s="284"/>
    </row>
    <row r="53" spans="1:10" x14ac:dyDescent="0.2">
      <c r="A53" s="286"/>
      <c r="B53" s="282"/>
      <c r="C53" s="282"/>
      <c r="D53" s="282"/>
      <c r="E53" s="282"/>
      <c r="F53" s="282"/>
      <c r="G53" s="282"/>
      <c r="H53" s="282"/>
      <c r="I53" s="282"/>
      <c r="J53" s="284"/>
    </row>
    <row r="54" spans="1:10" x14ac:dyDescent="0.2">
      <c r="A54" s="656" t="s">
        <v>237</v>
      </c>
      <c r="B54" s="655"/>
      <c r="C54" s="655"/>
      <c r="D54" s="655"/>
      <c r="E54" s="282"/>
      <c r="F54" s="282"/>
      <c r="G54" s="282"/>
      <c r="H54" s="282"/>
      <c r="I54" s="282"/>
      <c r="J54" s="284"/>
    </row>
    <row r="55" spans="1:10" x14ac:dyDescent="0.2">
      <c r="A55" s="656"/>
      <c r="B55" s="655"/>
      <c r="C55" s="655"/>
      <c r="D55" s="655"/>
      <c r="E55" s="282"/>
      <c r="F55" s="282"/>
      <c r="G55" s="282"/>
      <c r="H55" s="282"/>
      <c r="I55" s="282"/>
      <c r="J55" s="284"/>
    </row>
    <row r="56" spans="1:10" x14ac:dyDescent="0.2">
      <c r="A56" s="286"/>
      <c r="B56" s="282"/>
      <c r="C56" s="282"/>
      <c r="D56" s="282"/>
      <c r="E56" s="282"/>
      <c r="F56" s="282"/>
      <c r="G56" s="282"/>
      <c r="H56" s="282"/>
      <c r="I56" s="282"/>
      <c r="J56" s="284"/>
    </row>
    <row r="57" spans="1:10" x14ac:dyDescent="0.2">
      <c r="A57" s="286"/>
      <c r="B57" s="282"/>
      <c r="C57" s="282"/>
      <c r="D57" s="282"/>
      <c r="E57" s="282"/>
      <c r="F57" s="282"/>
      <c r="G57" s="282"/>
      <c r="H57" s="282"/>
      <c r="I57" s="282"/>
      <c r="J57" s="284"/>
    </row>
    <row r="58" spans="1:10" x14ac:dyDescent="0.2">
      <c r="A58" s="286"/>
      <c r="B58" s="282"/>
      <c r="C58" s="282"/>
      <c r="D58" s="282"/>
      <c r="E58" s="282"/>
      <c r="F58" s="282"/>
      <c r="G58" s="282"/>
      <c r="H58" s="282"/>
      <c r="I58" s="282"/>
      <c r="J58" s="284"/>
    </row>
    <row r="59" spans="1:10" x14ac:dyDescent="0.2">
      <c r="A59" s="286"/>
      <c r="B59" s="282"/>
      <c r="C59" s="282"/>
      <c r="D59" s="282"/>
      <c r="E59" s="282"/>
      <c r="F59" s="282"/>
      <c r="G59" s="282"/>
      <c r="H59" s="282"/>
      <c r="I59" s="282"/>
      <c r="J59" s="284"/>
    </row>
    <row r="60" spans="1:10" x14ac:dyDescent="0.2">
      <c r="A60" s="286"/>
      <c r="B60" s="282"/>
      <c r="C60" s="282"/>
      <c r="D60" s="282"/>
      <c r="E60" s="282"/>
      <c r="F60" s="282"/>
      <c r="G60" s="282"/>
      <c r="H60" s="282"/>
      <c r="I60" s="282"/>
      <c r="J60" s="284"/>
    </row>
    <row r="61" spans="1:10" x14ac:dyDescent="0.2">
      <c r="A61" s="292"/>
      <c r="B61" s="293"/>
      <c r="C61" s="293"/>
      <c r="D61" s="293"/>
      <c r="E61" s="293"/>
      <c r="F61" s="293"/>
      <c r="G61" s="293"/>
      <c r="H61" s="293"/>
      <c r="I61" s="293"/>
      <c r="J61" s="294"/>
    </row>
    <row r="66" spans="3:7" x14ac:dyDescent="0.2">
      <c r="C66" s="295" t="s">
        <v>238</v>
      </c>
      <c r="D66" s="295"/>
      <c r="E66" s="295"/>
      <c r="F66" s="295"/>
      <c r="G66" s="295"/>
    </row>
    <row r="67" spans="3:7" x14ac:dyDescent="0.2">
      <c r="C67" s="295" t="s">
        <v>239</v>
      </c>
      <c r="D67" s="295"/>
      <c r="E67" s="295"/>
      <c r="F67" s="295"/>
      <c r="G67" s="295"/>
    </row>
    <row r="70" spans="3:7" x14ac:dyDescent="0.2">
      <c r="D70" s="285">
        <f>QCI!D36</f>
        <v>0</v>
      </c>
    </row>
    <row r="71" spans="3:7" x14ac:dyDescent="0.2">
      <c r="D71" s="285">
        <f>QCI!D37</f>
        <v>0</v>
      </c>
    </row>
  </sheetData>
  <mergeCells count="15">
    <mergeCell ref="E19:F19"/>
    <mergeCell ref="D14:F14"/>
    <mergeCell ref="E15:F15"/>
    <mergeCell ref="E16:F16"/>
    <mergeCell ref="E17:F17"/>
    <mergeCell ref="E18:F18"/>
    <mergeCell ref="G27:I28"/>
    <mergeCell ref="A45:D46"/>
    <mergeCell ref="A54:D55"/>
    <mergeCell ref="E20:F20"/>
    <mergeCell ref="E21:F21"/>
    <mergeCell ref="E22:F22"/>
    <mergeCell ref="E23:F23"/>
    <mergeCell ref="E24:F24"/>
    <mergeCell ref="G25:J26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65" orientation="portrait" horizontalDpi="4294967293" verticalDpi="4294967293" r:id="rId1"/>
  <headerFooter>
    <oddHeader xml:space="preserve">&amp;C&amp;18CROQUIS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2:S36"/>
  <sheetViews>
    <sheetView tabSelected="1" topLeftCell="A7" workbookViewId="0">
      <selection activeCell="O31" sqref="O31"/>
    </sheetView>
  </sheetViews>
  <sheetFormatPr defaultRowHeight="12.75" x14ac:dyDescent="0.2"/>
  <cols>
    <col min="1" max="1" width="7.85546875" customWidth="1"/>
    <col min="2" max="2" width="13.5703125" customWidth="1"/>
    <col min="4" max="4" width="12.42578125" customWidth="1"/>
    <col min="11" max="11" width="13.140625" customWidth="1"/>
    <col min="13" max="13" width="11.85546875" customWidth="1"/>
    <col min="14" max="14" width="12" bestFit="1" customWidth="1"/>
    <col min="18" max="19" width="10.140625" bestFit="1" customWidth="1"/>
  </cols>
  <sheetData>
    <row r="2" spans="1:17" x14ac:dyDescent="0.2">
      <c r="A2" s="180"/>
      <c r="B2" s="181"/>
      <c r="C2" s="181"/>
      <c r="D2" s="181"/>
      <c r="E2" s="181"/>
      <c r="F2" s="182"/>
      <c r="G2" s="182"/>
      <c r="H2" s="182"/>
      <c r="I2" s="182"/>
      <c r="J2" s="181"/>
      <c r="K2" s="181"/>
    </row>
    <row r="3" spans="1:17" x14ac:dyDescent="0.2">
      <c r="A3" s="181"/>
      <c r="B3" s="181"/>
      <c r="C3" s="181"/>
      <c r="D3" s="181"/>
      <c r="E3" s="181"/>
      <c r="F3" s="181"/>
      <c r="G3" s="181"/>
      <c r="H3" s="181"/>
      <c r="I3" s="181"/>
      <c r="J3" s="182"/>
      <c r="K3" s="182"/>
    </row>
    <row r="4" spans="1:17" x14ac:dyDescent="0.2">
      <c r="A4" s="183" t="s">
        <v>202</v>
      </c>
      <c r="B4" s="183"/>
      <c r="C4" s="184"/>
      <c r="D4" s="184"/>
      <c r="E4" s="185"/>
      <c r="F4" s="186"/>
      <c r="G4" s="187"/>
      <c r="H4" s="187"/>
      <c r="I4" s="187"/>
      <c r="J4" s="187"/>
      <c r="K4" s="187"/>
    </row>
    <row r="5" spans="1:17" x14ac:dyDescent="0.2">
      <c r="A5" s="188"/>
      <c r="B5" s="183"/>
      <c r="C5" s="184"/>
      <c r="D5" s="184"/>
      <c r="E5" s="130"/>
      <c r="F5" s="130"/>
      <c r="G5" s="130"/>
      <c r="H5" s="187"/>
      <c r="I5" s="187"/>
      <c r="J5" s="187"/>
      <c r="K5" s="187"/>
    </row>
    <row r="6" spans="1:17" ht="13.5" thickBot="1" x14ac:dyDescent="0.25">
      <c r="A6" s="188" t="s">
        <v>184</v>
      </c>
      <c r="B6" s="188"/>
      <c r="C6" s="189"/>
      <c r="D6" s="190"/>
      <c r="E6" s="191"/>
      <c r="F6" s="192"/>
      <c r="G6" s="183"/>
      <c r="H6" s="183"/>
      <c r="I6" s="183"/>
      <c r="J6" s="183"/>
      <c r="K6" s="183"/>
    </row>
    <row r="7" spans="1:17" ht="14.25" x14ac:dyDescent="0.2">
      <c r="A7" s="2"/>
      <c r="B7" s="193" t="s">
        <v>221</v>
      </c>
      <c r="C7" s="194"/>
      <c r="D7" s="670" t="str">
        <f>QCI!D9</f>
        <v>N°866623/2018MCIDADES/CAIXA</v>
      </c>
      <c r="E7" s="670"/>
      <c r="F7" s="670"/>
      <c r="G7" s="670"/>
      <c r="H7" s="670"/>
      <c r="I7" s="670"/>
      <c r="J7" s="676" t="s">
        <v>314</v>
      </c>
      <c r="K7" s="677"/>
      <c r="L7" s="677"/>
      <c r="M7" s="677"/>
      <c r="N7" s="677"/>
      <c r="O7" s="677"/>
      <c r="P7" s="677"/>
      <c r="Q7" s="678"/>
    </row>
    <row r="8" spans="1:17" ht="13.5" thickBot="1" x14ac:dyDescent="0.25">
      <c r="A8" s="2"/>
      <c r="B8" s="195" t="s">
        <v>203</v>
      </c>
      <c r="C8" s="671" t="s">
        <v>311</v>
      </c>
      <c r="D8" s="671"/>
      <c r="E8" s="672"/>
      <c r="F8" s="195" t="s">
        <v>204</v>
      </c>
      <c r="G8" s="196">
        <v>43413</v>
      </c>
      <c r="H8" s="197"/>
      <c r="I8" s="197"/>
      <c r="J8" s="679"/>
      <c r="K8" s="680"/>
      <c r="L8" s="680"/>
      <c r="M8" s="680"/>
      <c r="N8" s="680"/>
      <c r="O8" s="680"/>
      <c r="P8" s="680"/>
      <c r="Q8" s="681"/>
    </row>
    <row r="9" spans="1:17" ht="13.5" thickBot="1" x14ac:dyDescent="0.25">
      <c r="A9" s="198"/>
      <c r="B9" s="199"/>
      <c r="C9" s="199"/>
      <c r="D9" s="199"/>
      <c r="E9" s="200"/>
      <c r="F9" s="201"/>
      <c r="G9" s="199"/>
      <c r="H9" s="199"/>
      <c r="I9" s="202"/>
      <c r="J9" s="202"/>
      <c r="K9" s="202"/>
    </row>
    <row r="10" spans="1:17" ht="13.5" thickBot="1" x14ac:dyDescent="0.25">
      <c r="A10" s="203"/>
      <c r="B10" s="204"/>
      <c r="C10" s="205"/>
      <c r="D10" s="205"/>
      <c r="E10" s="255"/>
      <c r="F10" s="673" t="s">
        <v>205</v>
      </c>
      <c r="G10" s="674"/>
      <c r="H10" s="674"/>
      <c r="I10" s="674"/>
      <c r="J10" s="674"/>
      <c r="K10" s="674"/>
      <c r="L10" s="674"/>
      <c r="M10" s="674"/>
      <c r="N10" s="674"/>
      <c r="O10" s="674"/>
      <c r="P10" s="674"/>
      <c r="Q10" s="675"/>
    </row>
    <row r="11" spans="1:17" x14ac:dyDescent="0.2">
      <c r="A11" s="206" t="s">
        <v>0</v>
      </c>
      <c r="B11" s="207" t="s">
        <v>206</v>
      </c>
      <c r="C11" s="207"/>
      <c r="D11" s="207" t="s">
        <v>207</v>
      </c>
      <c r="E11" s="208" t="s">
        <v>208</v>
      </c>
      <c r="F11" s="256" t="s">
        <v>209</v>
      </c>
      <c r="G11" s="257"/>
      <c r="H11" s="256" t="s">
        <v>210</v>
      </c>
      <c r="I11" s="257"/>
      <c r="J11" s="256" t="s">
        <v>211</v>
      </c>
      <c r="K11" s="257"/>
      <c r="L11" s="329" t="s">
        <v>424</v>
      </c>
      <c r="M11" s="211"/>
      <c r="N11" s="329" t="s">
        <v>425</v>
      </c>
      <c r="O11" s="211"/>
      <c r="P11" s="329" t="s">
        <v>426</v>
      </c>
      <c r="Q11" s="211"/>
    </row>
    <row r="12" spans="1:17" x14ac:dyDescent="0.2">
      <c r="A12" s="206"/>
      <c r="B12" s="209" t="s">
        <v>212</v>
      </c>
      <c r="C12" s="210"/>
      <c r="D12" s="211" t="s">
        <v>112</v>
      </c>
      <c r="E12" s="212" t="s">
        <v>213</v>
      </c>
      <c r="F12" s="213" t="s">
        <v>214</v>
      </c>
      <c r="G12" s="213" t="s">
        <v>215</v>
      </c>
      <c r="H12" s="213" t="s">
        <v>214</v>
      </c>
      <c r="I12" s="213" t="s">
        <v>215</v>
      </c>
      <c r="J12" s="213" t="s">
        <v>214</v>
      </c>
      <c r="K12" s="213" t="s">
        <v>215</v>
      </c>
      <c r="L12" s="213" t="s">
        <v>214</v>
      </c>
      <c r="M12" s="213" t="s">
        <v>215</v>
      </c>
      <c r="N12" s="213" t="s">
        <v>214</v>
      </c>
      <c r="O12" s="213" t="s">
        <v>215</v>
      </c>
      <c r="P12" s="213" t="s">
        <v>214</v>
      </c>
      <c r="Q12" s="213" t="s">
        <v>215</v>
      </c>
    </row>
    <row r="13" spans="1:17" x14ac:dyDescent="0.2">
      <c r="A13" s="214">
        <v>1</v>
      </c>
      <c r="B13" s="666" t="s">
        <v>284</v>
      </c>
      <c r="C13" s="667"/>
      <c r="D13" s="215">
        <f>'PLANILHA CAIXA'!AO202</f>
        <v>1896.93</v>
      </c>
      <c r="E13" s="216">
        <f>D13/D22</f>
        <v>3.74931344051522E-3</v>
      </c>
      <c r="F13" s="216">
        <v>1</v>
      </c>
      <c r="G13" s="252">
        <v>1</v>
      </c>
      <c r="H13" s="216"/>
      <c r="I13" s="252"/>
      <c r="J13" s="253"/>
      <c r="K13" s="252"/>
      <c r="L13" s="216"/>
      <c r="M13" s="252"/>
      <c r="N13" s="216"/>
      <c r="O13" s="252"/>
      <c r="P13" s="253"/>
      <c r="Q13" s="252"/>
    </row>
    <row r="14" spans="1:17" x14ac:dyDescent="0.2">
      <c r="A14" s="214">
        <v>2</v>
      </c>
      <c r="B14" s="666" t="s">
        <v>329</v>
      </c>
      <c r="C14" s="667"/>
      <c r="D14" s="215">
        <f>'PLANILHA CAIXA'!AO32</f>
        <v>136993.26605000001</v>
      </c>
      <c r="E14" s="216">
        <f>D14/D22</f>
        <v>0.27076945046013423</v>
      </c>
      <c r="F14" s="216">
        <v>0.4</v>
      </c>
      <c r="G14" s="252">
        <v>0.3</v>
      </c>
      <c r="H14" s="216">
        <v>0.3</v>
      </c>
      <c r="I14" s="252">
        <v>0.6</v>
      </c>
      <c r="J14" s="253">
        <v>0.1</v>
      </c>
      <c r="K14" s="252">
        <v>0.7</v>
      </c>
      <c r="L14" s="216">
        <v>0.1</v>
      </c>
      <c r="M14" s="252">
        <v>0.8</v>
      </c>
      <c r="N14" s="216">
        <v>0.1</v>
      </c>
      <c r="O14" s="252">
        <v>0.9</v>
      </c>
      <c r="P14" s="253"/>
      <c r="Q14" s="252">
        <v>1</v>
      </c>
    </row>
    <row r="15" spans="1:17" ht="29.25" customHeight="1" x14ac:dyDescent="0.2">
      <c r="A15" s="214">
        <v>3</v>
      </c>
      <c r="B15" s="668" t="s">
        <v>330</v>
      </c>
      <c r="C15" s="669"/>
      <c r="D15" s="215">
        <f>'PLANILHA CAIXA'!AO65</f>
        <v>105078.33627999999</v>
      </c>
      <c r="E15" s="216">
        <f>D15/D22</f>
        <v>0.20768906523782218</v>
      </c>
      <c r="F15" s="216"/>
      <c r="G15" s="252"/>
      <c r="H15" s="216">
        <v>0.6</v>
      </c>
      <c r="I15" s="252">
        <v>0.6</v>
      </c>
      <c r="J15" s="253">
        <v>0.4</v>
      </c>
      <c r="K15" s="252">
        <v>1</v>
      </c>
      <c r="L15" s="216"/>
      <c r="M15" s="252"/>
      <c r="N15" s="216"/>
      <c r="O15" s="252"/>
      <c r="P15" s="253"/>
      <c r="Q15" s="252"/>
    </row>
    <row r="16" spans="1:17" x14ac:dyDescent="0.2">
      <c r="A16" s="214">
        <v>4</v>
      </c>
      <c r="B16" s="663" t="s">
        <v>391</v>
      </c>
      <c r="C16" s="664"/>
      <c r="D16" s="215">
        <f>'PLANILHA CAIXA'!AO98</f>
        <v>111959.2528</v>
      </c>
      <c r="E16" s="216">
        <f>D16/D22</f>
        <v>0.22128931026083265</v>
      </c>
      <c r="F16" s="216"/>
      <c r="G16" s="252"/>
      <c r="H16" s="216"/>
      <c r="I16" s="252"/>
      <c r="J16" s="253">
        <v>0.6</v>
      </c>
      <c r="K16" s="252">
        <v>0.6</v>
      </c>
      <c r="L16" s="216">
        <v>0.4</v>
      </c>
      <c r="M16" s="252">
        <v>1</v>
      </c>
      <c r="N16" s="216"/>
      <c r="O16" s="252"/>
      <c r="P16" s="253"/>
      <c r="Q16" s="252"/>
    </row>
    <row r="17" spans="1:19" x14ac:dyDescent="0.2">
      <c r="A17" s="214">
        <v>5</v>
      </c>
      <c r="B17" s="668" t="s">
        <v>313</v>
      </c>
      <c r="C17" s="669"/>
      <c r="D17" s="215">
        <f>'PLANILHA CAIXA'!AO132</f>
        <v>82300.23689</v>
      </c>
      <c r="E17" s="216">
        <f>D17/D22</f>
        <v>0.16266777600083479</v>
      </c>
      <c r="F17" s="216"/>
      <c r="G17" s="252"/>
      <c r="H17" s="216"/>
      <c r="I17" s="252"/>
      <c r="J17" s="253"/>
      <c r="K17" s="252"/>
      <c r="L17" s="216">
        <v>0.6</v>
      </c>
      <c r="M17" s="252">
        <v>0.6</v>
      </c>
      <c r="N17" s="216">
        <v>0.4</v>
      </c>
      <c r="O17" s="252">
        <v>1</v>
      </c>
      <c r="P17" s="253"/>
      <c r="Q17" s="252"/>
    </row>
    <row r="18" spans="1:19" x14ac:dyDescent="0.2">
      <c r="A18" s="214">
        <v>6</v>
      </c>
      <c r="B18" s="663" t="s">
        <v>390</v>
      </c>
      <c r="C18" s="664"/>
      <c r="D18" s="215">
        <f>'PLANILHA CAIXA'!AO165</f>
        <v>67712.606870000018</v>
      </c>
      <c r="E18" s="216">
        <f>D18/D22</f>
        <v>0.13383508459986099</v>
      </c>
      <c r="F18" s="216"/>
      <c r="G18" s="252"/>
      <c r="H18" s="216"/>
      <c r="I18" s="252"/>
      <c r="J18" s="253"/>
      <c r="K18" s="252"/>
      <c r="L18" s="216"/>
      <c r="M18" s="252"/>
      <c r="N18" s="216">
        <v>0.2</v>
      </c>
      <c r="O18" s="252">
        <v>0.2</v>
      </c>
      <c r="P18" s="253">
        <v>0.8</v>
      </c>
      <c r="Q18" s="252">
        <v>1</v>
      </c>
    </row>
    <row r="19" spans="1:19" x14ac:dyDescent="0.2">
      <c r="A19" s="214"/>
      <c r="B19" s="668"/>
      <c r="C19" s="669"/>
      <c r="D19" s="215"/>
      <c r="E19" s="216"/>
      <c r="F19" s="216"/>
      <c r="G19" s="217"/>
      <c r="H19" s="216"/>
      <c r="I19" s="217"/>
      <c r="J19" s="216"/>
      <c r="K19" s="217"/>
      <c r="L19" s="216"/>
      <c r="M19" s="217"/>
      <c r="N19" s="216"/>
      <c r="O19" s="217"/>
      <c r="P19" s="216"/>
      <c r="Q19" s="217"/>
    </row>
    <row r="20" spans="1:19" ht="13.5" thickBot="1" x14ac:dyDescent="0.25">
      <c r="A20" s="218"/>
      <c r="B20" s="219"/>
      <c r="C20" s="219"/>
      <c r="D20" s="220"/>
      <c r="E20" s="221"/>
      <c r="F20" s="222"/>
      <c r="G20" s="223"/>
      <c r="H20" s="222"/>
      <c r="I20" s="217"/>
      <c r="J20" s="222"/>
      <c r="K20" s="217"/>
      <c r="L20" s="222"/>
      <c r="M20" s="223"/>
      <c r="N20" s="222"/>
      <c r="O20" s="217"/>
      <c r="P20" s="222"/>
      <c r="Q20" s="217"/>
    </row>
    <row r="21" spans="1:19" ht="13.5" thickBot="1" x14ac:dyDescent="0.25">
      <c r="A21" s="224" t="s">
        <v>216</v>
      </c>
      <c r="B21" s="225"/>
      <c r="C21" s="226"/>
      <c r="D21" s="227"/>
      <c r="E21" s="228"/>
      <c r="F21" s="229">
        <f>F22/D22</f>
        <v>0.11205709362456892</v>
      </c>
      <c r="G21" s="230">
        <f>F21</f>
        <v>0.11205709362456892</v>
      </c>
      <c r="H21" s="229">
        <f>H22/D22</f>
        <v>0.20584427428073357</v>
      </c>
      <c r="I21" s="230">
        <f>I22/D22</f>
        <v>0.31790136790530243</v>
      </c>
      <c r="J21" s="229">
        <f>J22/D22</f>
        <v>0.24292615729764191</v>
      </c>
      <c r="K21" s="230">
        <f>J21+I21</f>
        <v>0.56082752520294432</v>
      </c>
      <c r="L21" s="229">
        <f>L22/D22</f>
        <v>0.2131933347508474</v>
      </c>
      <c r="M21" s="230">
        <f>L21+K21</f>
        <v>0.77402085995379166</v>
      </c>
      <c r="N21" s="229">
        <f>N22/D22</f>
        <v>0.11891107236631954</v>
      </c>
      <c r="O21" s="230">
        <f>N21+M21</f>
        <v>0.89293193232011125</v>
      </c>
      <c r="P21" s="229">
        <f>P22/D22</f>
        <v>0.10706806767988879</v>
      </c>
      <c r="Q21" s="230">
        <f>P21+O21</f>
        <v>1</v>
      </c>
    </row>
    <row r="22" spans="1:19" ht="13.5" thickBot="1" x14ac:dyDescent="0.25">
      <c r="A22" s="231" t="s">
        <v>217</v>
      </c>
      <c r="B22" s="225"/>
      <c r="C22" s="232"/>
      <c r="D22" s="233">
        <f>D18+D17+D16+D15+D14+D13</f>
        <v>505940.62888999999</v>
      </c>
      <c r="E22" s="216">
        <f>E18+E17+E16+E15+E14+E13</f>
        <v>1</v>
      </c>
      <c r="F22" s="234">
        <f>F14*D14+D13</f>
        <v>56694.236420000008</v>
      </c>
      <c r="G22" s="235">
        <f>F22</f>
        <v>56694.236420000008</v>
      </c>
      <c r="H22" s="234">
        <f>H15*D15+H14*D14</f>
        <v>104144.98158299999</v>
      </c>
      <c r="I22" s="235">
        <f>H22+G22</f>
        <v>160839.21800299999</v>
      </c>
      <c r="J22" s="234">
        <f>J16*D16+J15*D15+J14*D14</f>
        <v>122906.21279700001</v>
      </c>
      <c r="K22" s="235">
        <f>J22+I22</f>
        <v>283745.43079999997</v>
      </c>
      <c r="L22" s="234">
        <f>L17*D17+L16*D16+L14*D14</f>
        <v>107863.16985900002</v>
      </c>
      <c r="M22" s="235">
        <f>L22+K22</f>
        <v>391608.60065899999</v>
      </c>
      <c r="N22" s="234">
        <f>N18*D18+N17*D17+N14*D14</f>
        <v>60161.942735000004</v>
      </c>
      <c r="O22" s="235">
        <f>N22+M22</f>
        <v>451770.54339399998</v>
      </c>
      <c r="P22" s="234">
        <f>P18*D18</f>
        <v>54170.085496000014</v>
      </c>
      <c r="Q22" s="235">
        <f>P22+O22</f>
        <v>505940.62888999999</v>
      </c>
    </row>
    <row r="23" spans="1:19" ht="13.5" thickBot="1" x14ac:dyDescent="0.25">
      <c r="A23" s="236"/>
      <c r="B23" s="236"/>
      <c r="C23" s="236"/>
      <c r="D23" s="237"/>
      <c r="E23" s="238"/>
      <c r="F23" s="239"/>
      <c r="G23" s="240"/>
      <c r="H23" s="239"/>
      <c r="I23" s="240"/>
      <c r="J23" s="239"/>
      <c r="K23" s="240"/>
      <c r="L23" s="239"/>
      <c r="M23" s="240"/>
      <c r="N23" s="239"/>
      <c r="O23" s="240"/>
      <c r="P23" s="239"/>
      <c r="Q23" s="240"/>
    </row>
    <row r="24" spans="1:19" ht="13.5" thickBot="1" x14ac:dyDescent="0.25">
      <c r="A24" s="241" t="s">
        <v>187</v>
      </c>
      <c r="B24" s="242"/>
      <c r="C24" s="243"/>
      <c r="D24" s="244">
        <f>D22-D25</f>
        <v>4988.248889999988</v>
      </c>
      <c r="E24" s="245">
        <f>D24/D22</f>
        <v>9.8593562271207073E-3</v>
      </c>
      <c r="F24" s="246">
        <f>F22*E24</f>
        <v>558.96867288938063</v>
      </c>
      <c r="G24" s="247">
        <f>IF(F24=0,0,F24/(F24+F25))</f>
        <v>9.8593562271207073E-3</v>
      </c>
      <c r="H24" s="248">
        <f>H22*E24</f>
        <v>1026.8024726937224</v>
      </c>
      <c r="I24" s="247">
        <f>IF(H24=0,0,H24/(H24+H25))</f>
        <v>9.8593562271207091E-3</v>
      </c>
      <c r="J24" s="248">
        <f>J22*E24</f>
        <v>1211.7761344919249</v>
      </c>
      <c r="K24" s="247">
        <f>IF(J24=0,0,J24/(J24+J25))</f>
        <v>9.8593562271207073E-3</v>
      </c>
      <c r="L24" s="246">
        <f>L22*K24</f>
        <v>1063.4614154263104</v>
      </c>
      <c r="M24" s="247">
        <f>IF(L24=0,0,L24/(L24+L25))</f>
        <v>9.8593562271207073E-3</v>
      </c>
      <c r="N24" s="248">
        <f>N22*K24</f>
        <v>593.15802474000168</v>
      </c>
      <c r="O24" s="247">
        <f>IF(N24=0,0,N24/(N24+N25))</f>
        <v>9.8593562271207073E-3</v>
      </c>
      <c r="P24" s="248">
        <f>P22*K24</f>
        <v>534.08216975864889</v>
      </c>
      <c r="Q24" s="247">
        <f>IF(P24=0,0,P24/(P24+P25))</f>
        <v>9.8593562271207073E-3</v>
      </c>
      <c r="R24" s="94"/>
      <c r="S24" s="94"/>
    </row>
    <row r="25" spans="1:19" ht="13.5" thickBot="1" x14ac:dyDescent="0.25">
      <c r="A25" s="241" t="s">
        <v>218</v>
      </c>
      <c r="B25" s="242"/>
      <c r="C25" s="243"/>
      <c r="D25" s="244">
        <v>500952.38</v>
      </c>
      <c r="E25" s="245">
        <f>D25/D22</f>
        <v>0.99014064377287925</v>
      </c>
      <c r="F25" s="246">
        <f>F22*E25</f>
        <v>56135.267747110622</v>
      </c>
      <c r="G25" s="247">
        <f>IF(F25=0,0,F25/(F24+F25))</f>
        <v>0.99014064377287936</v>
      </c>
      <c r="H25" s="248">
        <f>H22*E25</f>
        <v>103118.17911030626</v>
      </c>
      <c r="I25" s="247">
        <f>IF(H24=0,0,H25/(H24+H25))</f>
        <v>0.99014064377287925</v>
      </c>
      <c r="J25" s="248">
        <f>J22*E25</f>
        <v>121694.43666250809</v>
      </c>
      <c r="K25" s="247">
        <f>IF(J24=0,0,J25/(J24+J25))</f>
        <v>0.99014064377287925</v>
      </c>
      <c r="L25" s="246">
        <f>L22*K25</f>
        <v>106799.70844357371</v>
      </c>
      <c r="M25" s="247">
        <f>IF(L25=0,0,L25/(L24+L25))</f>
        <v>0.99014064377287925</v>
      </c>
      <c r="N25" s="248">
        <f>N22*K25</f>
        <v>59568.784710259999</v>
      </c>
      <c r="O25" s="247">
        <f>IF(N24=0,0,N25/(N24+N25))</f>
        <v>0.99014064377287925</v>
      </c>
      <c r="P25" s="248">
        <f>P22*K25</f>
        <v>53636.003326241364</v>
      </c>
      <c r="Q25" s="247">
        <f>IF(P24=0,0,P25/(P24+P25))</f>
        <v>0.99014064377287925</v>
      </c>
      <c r="R25" s="94"/>
      <c r="S25" s="94"/>
    </row>
    <row r="26" spans="1:19" x14ac:dyDescent="0.2">
      <c r="A26" s="236"/>
      <c r="B26" s="236"/>
      <c r="C26" s="236"/>
      <c r="D26" s="249"/>
      <c r="E26" s="238"/>
      <c r="F26" s="239"/>
      <c r="G26" s="236"/>
      <c r="H26" s="239"/>
      <c r="I26" s="236"/>
      <c r="J26" s="239"/>
      <c r="K26" s="236"/>
    </row>
    <row r="27" spans="1:19" x14ac:dyDescent="0.2">
      <c r="A27" s="236"/>
      <c r="B27" s="236"/>
      <c r="C27" s="236"/>
      <c r="D27" s="249"/>
      <c r="E27" s="238"/>
      <c r="F27" s="239"/>
      <c r="G27" s="236"/>
      <c r="H27" s="239"/>
      <c r="I27" s="236"/>
      <c r="J27" s="239"/>
      <c r="K27" s="236"/>
    </row>
    <row r="28" spans="1:19" ht="13.5" thickBot="1" x14ac:dyDescent="0.25">
      <c r="A28" s="199"/>
      <c r="B28" s="199"/>
      <c r="C28" s="199"/>
      <c r="D28" s="199"/>
      <c r="E28" s="199"/>
      <c r="F28" s="199"/>
      <c r="G28" s="152"/>
      <c r="H28" s="152"/>
      <c r="I28" s="152"/>
      <c r="J28" s="152"/>
      <c r="K28" s="152"/>
    </row>
    <row r="29" spans="1:19" x14ac:dyDescent="0.2">
      <c r="A29" s="199"/>
      <c r="B29" s="199"/>
      <c r="C29" s="199"/>
      <c r="D29" s="199"/>
      <c r="E29" s="200"/>
      <c r="F29" s="250" t="s">
        <v>219</v>
      </c>
      <c r="G29" s="201"/>
      <c r="H29" s="201"/>
      <c r="I29" s="199"/>
      <c r="J29" s="199"/>
      <c r="K29" s="199"/>
    </row>
    <row r="30" spans="1:19" x14ac:dyDescent="0.2">
      <c r="A30" s="199"/>
      <c r="B30" s="18"/>
      <c r="C30" s="199"/>
      <c r="D30" s="199"/>
      <c r="E30" s="200"/>
      <c r="F30" s="251"/>
      <c r="G30" s="202"/>
      <c r="H30" s="202"/>
      <c r="I30" s="199"/>
      <c r="J30" s="199"/>
      <c r="K30" s="199"/>
    </row>
    <row r="31" spans="1:19" ht="13.5" thickBot="1" x14ac:dyDescent="0.25">
      <c r="A31" s="199"/>
      <c r="B31" s="199"/>
      <c r="C31" s="199"/>
      <c r="D31" s="199"/>
      <c r="E31" s="200"/>
      <c r="F31" s="251"/>
      <c r="G31" s="152"/>
      <c r="H31" s="152"/>
      <c r="I31" s="152"/>
      <c r="J31" s="152"/>
      <c r="K31" s="152"/>
    </row>
    <row r="32" spans="1:19" x14ac:dyDescent="0.2">
      <c r="A32" s="199"/>
      <c r="B32" s="199"/>
      <c r="C32" s="199"/>
      <c r="D32" s="199"/>
      <c r="E32" s="200"/>
      <c r="F32" s="665" t="s">
        <v>232</v>
      </c>
      <c r="G32" s="665"/>
      <c r="H32" s="665"/>
      <c r="I32" s="665"/>
      <c r="J32" s="665"/>
      <c r="K32" s="665"/>
    </row>
    <row r="33" spans="1:11" x14ac:dyDescent="0.2">
      <c r="A33" s="199"/>
      <c r="B33" s="199"/>
      <c r="C33" s="199"/>
      <c r="D33" s="199"/>
      <c r="E33" s="200"/>
      <c r="F33" s="201"/>
      <c r="G33" s="199"/>
      <c r="H33" s="199"/>
      <c r="I33" s="199"/>
      <c r="J33" s="199"/>
      <c r="K33" s="199"/>
    </row>
    <row r="35" spans="1:11" x14ac:dyDescent="0.2">
      <c r="D35" s="1" t="s">
        <v>406</v>
      </c>
    </row>
    <row r="36" spans="1:11" x14ac:dyDescent="0.2">
      <c r="D36" s="1" t="s">
        <v>403</v>
      </c>
    </row>
  </sheetData>
  <mergeCells count="12">
    <mergeCell ref="D7:I7"/>
    <mergeCell ref="C8:E8"/>
    <mergeCell ref="B13:C13"/>
    <mergeCell ref="F10:Q10"/>
    <mergeCell ref="J7:Q8"/>
    <mergeCell ref="B18:C18"/>
    <mergeCell ref="F32:K32"/>
    <mergeCell ref="B14:C14"/>
    <mergeCell ref="B15:C15"/>
    <mergeCell ref="B17:C17"/>
    <mergeCell ref="B16:C16"/>
    <mergeCell ref="B19:C19"/>
  </mergeCells>
  <pageMargins left="1.1023622047244095" right="0.51181102362204722" top="0.78740157480314965" bottom="0.78740157480314965" header="0.31496062992125984" footer="0.31496062992125984"/>
  <pageSetup paperSize="9"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V86"/>
  <sheetViews>
    <sheetView view="pageBreakPreview" zoomScaleSheetLayoutView="100" workbookViewId="0">
      <selection activeCell="D29" sqref="D29"/>
    </sheetView>
  </sheetViews>
  <sheetFormatPr defaultRowHeight="12" x14ac:dyDescent="0.2"/>
  <cols>
    <col min="1" max="1" width="2.28515625" style="12" customWidth="1"/>
    <col min="2" max="2" width="8.85546875" style="13" customWidth="1"/>
    <col min="3" max="3" width="3.28515625" style="13" customWidth="1"/>
    <col min="4" max="4" width="12" style="13" customWidth="1"/>
    <col min="5" max="5" width="3.28515625" style="13" customWidth="1"/>
    <col min="6" max="6" width="6.28515625" style="29" customWidth="1"/>
    <col min="7" max="11" width="3.28515625" style="29" customWidth="1"/>
    <col min="12" max="15" width="3.28515625" style="12" customWidth="1"/>
    <col min="16" max="16" width="4.140625" style="12" customWidth="1"/>
    <col min="17" max="18" width="3.28515625" style="12" customWidth="1"/>
    <col min="19" max="19" width="6.140625" style="12" customWidth="1"/>
    <col min="20" max="20" width="3.28515625" style="12" customWidth="1"/>
    <col min="21" max="21" width="3.5703125" style="12" customWidth="1"/>
    <col min="22" max="22" width="3.28515625" style="12" customWidth="1"/>
    <col min="23" max="23" width="4.5703125" style="12" customWidth="1"/>
    <col min="24" max="24" width="4.42578125" style="12" customWidth="1"/>
    <col min="25" max="25" width="3.28515625" style="12" customWidth="1"/>
    <col min="26" max="26" width="4" style="12" customWidth="1"/>
    <col min="27" max="27" width="4.5703125" style="12" customWidth="1"/>
    <col min="28" max="29" width="3.28515625" style="12" customWidth="1"/>
    <col min="30" max="30" width="4" style="12" customWidth="1"/>
    <col min="31" max="33" width="3.28515625" style="12" customWidth="1"/>
    <col min="34" max="34" width="3.85546875" style="12" customWidth="1"/>
    <col min="35" max="40" width="3.28515625" style="12" customWidth="1"/>
    <col min="41" max="41" width="13.7109375" style="12" customWidth="1"/>
    <col min="42" max="42" width="3" style="12" customWidth="1"/>
    <col min="43" max="43" width="3.7109375" style="12" customWidth="1"/>
    <col min="44" max="44" width="6" style="12" customWidth="1"/>
    <col min="45" max="47" width="3.28515625" style="12" customWidth="1"/>
    <col min="48" max="48" width="3.28515625" style="314" customWidth="1"/>
    <col min="49" max="49" width="7.140625" style="12" customWidth="1"/>
    <col min="50" max="57" width="3.28515625" style="12" customWidth="1"/>
    <col min="58" max="16384" width="9.140625" style="12"/>
  </cols>
  <sheetData>
    <row r="1" spans="2:48" ht="6.75" customHeight="1" x14ac:dyDescent="0.2">
      <c r="F1" s="12"/>
      <c r="G1" s="12"/>
      <c r="H1" s="12"/>
      <c r="I1" s="12"/>
      <c r="J1" s="12"/>
      <c r="K1" s="12"/>
      <c r="AJ1" s="14"/>
    </row>
    <row r="2" spans="2:48" ht="12.75" customHeight="1" x14ac:dyDescent="0.2">
      <c r="B2" s="14"/>
      <c r="C2" s="14"/>
      <c r="D2" s="14"/>
      <c r="E2" s="14"/>
      <c r="F2" s="12"/>
      <c r="G2" s="12"/>
      <c r="H2" s="12"/>
      <c r="I2" s="12"/>
      <c r="J2" s="12"/>
      <c r="K2" s="12"/>
      <c r="N2" s="561" t="s">
        <v>15</v>
      </c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16"/>
      <c r="AH2" s="17"/>
      <c r="AI2" s="17"/>
      <c r="AJ2" s="17"/>
      <c r="AK2" s="17"/>
      <c r="AL2" s="16"/>
      <c r="AM2" s="16"/>
      <c r="AN2" s="16"/>
    </row>
    <row r="3" spans="2:48" ht="12" customHeight="1" x14ac:dyDescent="0.2">
      <c r="B3" s="14"/>
      <c r="C3" s="14"/>
      <c r="D3" s="14"/>
      <c r="E3" s="14"/>
      <c r="F3" s="12"/>
      <c r="G3" s="12"/>
      <c r="H3" s="12"/>
      <c r="I3" s="12"/>
      <c r="J3" s="12"/>
      <c r="K3" s="12"/>
      <c r="M3" s="18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19"/>
      <c r="AH3" s="19"/>
      <c r="AI3" s="19"/>
      <c r="AJ3" s="19"/>
      <c r="AK3" s="19"/>
      <c r="AL3" s="19"/>
      <c r="AM3" s="19"/>
      <c r="AN3" s="19"/>
    </row>
    <row r="4" spans="2:48" ht="4.5" customHeight="1" x14ac:dyDescent="0.2">
      <c r="B4" s="14"/>
      <c r="C4" s="14"/>
      <c r="D4" s="14"/>
      <c r="E4" s="14"/>
      <c r="F4" s="12"/>
      <c r="G4" s="12"/>
      <c r="H4" s="12"/>
      <c r="I4" s="18"/>
      <c r="J4" s="12"/>
      <c r="K4" s="12"/>
    </row>
    <row r="5" spans="2:48" s="16" customFormat="1" ht="13.5" customHeight="1" x14ac:dyDescent="0.2">
      <c r="B5" s="562"/>
      <c r="C5" s="562"/>
      <c r="D5" s="562"/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315"/>
      <c r="AA5" s="315"/>
      <c r="AB5" s="315"/>
      <c r="AC5" s="315"/>
      <c r="AD5" s="315"/>
      <c r="AE5" s="563" t="s">
        <v>16</v>
      </c>
      <c r="AF5" s="563"/>
      <c r="AG5" s="563"/>
      <c r="AH5" s="563"/>
      <c r="AI5" s="563"/>
      <c r="AJ5" s="563"/>
      <c r="AK5" s="563"/>
      <c r="AL5" s="563"/>
      <c r="AM5" s="563"/>
      <c r="AN5" s="563"/>
      <c r="AV5" s="21"/>
    </row>
    <row r="6" spans="2:48" ht="5.25" customHeight="1" x14ac:dyDescent="0.2">
      <c r="B6" s="22"/>
      <c r="C6" s="22"/>
      <c r="D6" s="22"/>
      <c r="E6" s="22"/>
      <c r="F6" s="23"/>
      <c r="G6" s="23"/>
      <c r="H6" s="23"/>
      <c r="I6" s="23"/>
      <c r="J6" s="23"/>
      <c r="K6" s="23"/>
      <c r="L6" s="24"/>
      <c r="M6" s="25"/>
    </row>
    <row r="7" spans="2:48" s="14" customFormat="1" ht="12" customHeight="1" x14ac:dyDescent="0.2">
      <c r="B7" s="26" t="s">
        <v>17</v>
      </c>
      <c r="C7" s="13"/>
      <c r="D7" s="13"/>
      <c r="E7" s="13"/>
      <c r="F7" s="13"/>
      <c r="G7" s="13"/>
      <c r="H7" s="13"/>
      <c r="I7" s="13"/>
      <c r="X7" s="13"/>
      <c r="Y7" s="13"/>
      <c r="Z7" s="13"/>
      <c r="AA7" s="13"/>
      <c r="AB7" s="13"/>
      <c r="AE7" s="26" t="s">
        <v>312</v>
      </c>
      <c r="AN7" s="27"/>
    </row>
    <row r="8" spans="2:48" s="14" customFormat="1" ht="14.1" customHeight="1" x14ac:dyDescent="0.2">
      <c r="B8" s="564" t="s">
        <v>310</v>
      </c>
      <c r="C8" s="565"/>
      <c r="D8" s="565"/>
      <c r="E8" s="565"/>
      <c r="F8" s="565"/>
      <c r="G8" s="565"/>
      <c r="H8" s="565"/>
      <c r="I8" s="565"/>
      <c r="J8" s="565"/>
      <c r="K8" s="565"/>
      <c r="L8" s="565"/>
      <c r="M8" s="565"/>
      <c r="N8" s="565"/>
      <c r="O8" s="565"/>
      <c r="P8" s="565"/>
      <c r="Q8" s="565"/>
      <c r="R8" s="565"/>
      <c r="S8" s="565"/>
      <c r="T8" s="565"/>
      <c r="U8" s="565"/>
      <c r="V8" s="565"/>
      <c r="W8" s="565"/>
      <c r="X8" s="565"/>
      <c r="Y8" s="565"/>
      <c r="Z8" s="565"/>
      <c r="AA8" s="565"/>
      <c r="AB8" s="565"/>
      <c r="AC8" s="565"/>
      <c r="AD8" s="566"/>
      <c r="AE8" s="567"/>
      <c r="AF8" s="568"/>
      <c r="AG8" s="568"/>
      <c r="AH8" s="568"/>
      <c r="AI8" s="568"/>
      <c r="AJ8" s="568"/>
      <c r="AK8" s="568"/>
      <c r="AL8" s="568"/>
      <c r="AM8" s="568"/>
      <c r="AN8" s="569"/>
      <c r="AV8" s="297"/>
    </row>
    <row r="9" spans="2:48" ht="5.25" customHeight="1" x14ac:dyDescent="0.2"/>
    <row r="10" spans="2:48" s="14" customFormat="1" ht="12" customHeight="1" x14ac:dyDescent="0.2">
      <c r="B10" s="26" t="s">
        <v>18</v>
      </c>
      <c r="C10" s="13"/>
      <c r="D10" s="13"/>
      <c r="E10" s="13"/>
      <c r="X10" s="26" t="s">
        <v>19</v>
      </c>
      <c r="Z10" s="13"/>
      <c r="AA10" s="13"/>
      <c r="AB10" s="13"/>
      <c r="AC10" s="13"/>
      <c r="AD10" s="13"/>
      <c r="AF10" s="13"/>
      <c r="AG10" s="30"/>
      <c r="AL10" s="12"/>
      <c r="AM10" s="31" t="s">
        <v>20</v>
      </c>
      <c r="AN10" s="27"/>
      <c r="AV10" s="297"/>
    </row>
    <row r="11" spans="2:48" ht="30" customHeight="1" x14ac:dyDescent="0.2">
      <c r="B11" s="592" t="s">
        <v>148</v>
      </c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4"/>
      <c r="X11" s="595" t="s">
        <v>311</v>
      </c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7"/>
      <c r="AM11" s="598" t="s">
        <v>21</v>
      </c>
      <c r="AN11" s="599"/>
    </row>
    <row r="12" spans="2:48" ht="6.75" customHeight="1" x14ac:dyDescent="0.2">
      <c r="X12" s="14"/>
      <c r="AK12" s="16"/>
      <c r="AL12" s="16"/>
      <c r="AM12" s="16"/>
      <c r="AN12" s="16"/>
    </row>
    <row r="13" spans="2:48" s="14" customFormat="1" ht="12" customHeight="1" x14ac:dyDescent="0.2">
      <c r="B13" s="31" t="s">
        <v>22</v>
      </c>
      <c r="F13" s="13"/>
      <c r="G13" s="13"/>
      <c r="H13" s="13"/>
      <c r="I13" s="13"/>
      <c r="X13" s="26" t="s">
        <v>23</v>
      </c>
      <c r="AA13" s="13"/>
      <c r="AG13" s="26" t="s">
        <v>24</v>
      </c>
      <c r="AJ13" s="13"/>
      <c r="AV13" s="297"/>
    </row>
    <row r="14" spans="2:48" s="14" customFormat="1" ht="14.1" customHeight="1" x14ac:dyDescent="0.2">
      <c r="B14" s="564" t="s">
        <v>110</v>
      </c>
      <c r="C14" s="565"/>
      <c r="D14" s="565"/>
      <c r="E14" s="565"/>
      <c r="F14" s="565"/>
      <c r="G14" s="565"/>
      <c r="H14" s="565"/>
      <c r="I14" s="565"/>
      <c r="J14" s="565"/>
      <c r="K14" s="565"/>
      <c r="L14" s="565"/>
      <c r="M14" s="565"/>
      <c r="N14" s="565"/>
      <c r="O14" s="565"/>
      <c r="P14" s="565"/>
      <c r="Q14" s="565"/>
      <c r="R14" s="565"/>
      <c r="S14" s="565"/>
      <c r="T14" s="565"/>
      <c r="U14" s="565"/>
      <c r="V14" s="565"/>
      <c r="W14" s="566"/>
      <c r="X14" s="600" t="s">
        <v>111</v>
      </c>
      <c r="Y14" s="601"/>
      <c r="Z14" s="601"/>
      <c r="AA14" s="601"/>
      <c r="AB14" s="601"/>
      <c r="AC14" s="601"/>
      <c r="AD14" s="601"/>
      <c r="AE14" s="601"/>
      <c r="AF14" s="602"/>
      <c r="AG14" s="603" t="s">
        <v>315</v>
      </c>
      <c r="AH14" s="604"/>
      <c r="AI14" s="604"/>
      <c r="AJ14" s="604"/>
      <c r="AK14" s="604"/>
      <c r="AL14" s="604"/>
      <c r="AM14" s="604"/>
      <c r="AN14" s="605"/>
      <c r="AV14" s="297"/>
    </row>
    <row r="15" spans="2:48" ht="6" customHeight="1" x14ac:dyDescent="0.2"/>
    <row r="16" spans="2:48" ht="13.5" customHeight="1" x14ac:dyDescent="0.2">
      <c r="B16" s="13" t="s">
        <v>25</v>
      </c>
      <c r="AO16" s="32"/>
    </row>
    <row r="17" spans="2:48" ht="6" customHeight="1" x14ac:dyDescent="0.2"/>
    <row r="18" spans="2:48" ht="12.6" customHeight="1" x14ac:dyDescent="0.2">
      <c r="B18" s="33" t="s">
        <v>26</v>
      </c>
      <c r="C18" s="34"/>
      <c r="D18" s="34"/>
      <c r="E18" s="34"/>
      <c r="F18" s="34"/>
      <c r="G18" s="34"/>
      <c r="H18" s="34"/>
      <c r="I18" s="34"/>
      <c r="J18" s="34"/>
      <c r="K18" s="570" t="s">
        <v>27</v>
      </c>
      <c r="L18" s="571"/>
      <c r="M18" s="571"/>
      <c r="N18" s="571"/>
      <c r="O18" s="571"/>
      <c r="P18" s="572"/>
      <c r="Q18" s="576" t="s">
        <v>28</v>
      </c>
      <c r="R18" s="577"/>
      <c r="S18" s="577"/>
      <c r="T18" s="577"/>
      <c r="U18" s="577"/>
      <c r="V18" s="577"/>
      <c r="W18" s="577"/>
      <c r="X18" s="577"/>
      <c r="Y18" s="580" t="s">
        <v>145</v>
      </c>
      <c r="Z18" s="581"/>
      <c r="AA18" s="581"/>
      <c r="AB18" s="581"/>
      <c r="AC18" s="581"/>
      <c r="AD18" s="581"/>
      <c r="AE18" s="581"/>
      <c r="AF18" s="581"/>
      <c r="AG18" s="581"/>
      <c r="AH18" s="581"/>
      <c r="AI18" s="582"/>
      <c r="AJ18" s="586">
        <f>IF(AO16=TRUE,0,((((1+W23)*(1+W22)*(1+W21+W20)*(1+W24))/(1-W25))-1))</f>
        <v>0.25079628125923237</v>
      </c>
      <c r="AK18" s="587"/>
      <c r="AL18" s="587"/>
      <c r="AM18" s="587"/>
      <c r="AN18" s="588"/>
    </row>
    <row r="19" spans="2:48" ht="12.6" customHeight="1" x14ac:dyDescent="0.2">
      <c r="B19" s="35"/>
      <c r="C19" s="36"/>
      <c r="D19" s="36"/>
      <c r="E19" s="36"/>
      <c r="F19" s="36"/>
      <c r="G19" s="36"/>
      <c r="H19" s="36"/>
      <c r="I19" s="36"/>
      <c r="J19" s="36"/>
      <c r="K19" s="573"/>
      <c r="L19" s="574"/>
      <c r="M19" s="574"/>
      <c r="N19" s="574"/>
      <c r="O19" s="574"/>
      <c r="P19" s="575"/>
      <c r="Q19" s="578"/>
      <c r="R19" s="579"/>
      <c r="S19" s="579"/>
      <c r="T19" s="579"/>
      <c r="U19" s="579"/>
      <c r="V19" s="579"/>
      <c r="W19" s="579"/>
      <c r="X19" s="579"/>
      <c r="Y19" s="583"/>
      <c r="Z19" s="584"/>
      <c r="AA19" s="584"/>
      <c r="AB19" s="584"/>
      <c r="AC19" s="584"/>
      <c r="AD19" s="584"/>
      <c r="AE19" s="584"/>
      <c r="AF19" s="584"/>
      <c r="AG19" s="584"/>
      <c r="AH19" s="584"/>
      <c r="AI19" s="585"/>
      <c r="AJ19" s="589"/>
      <c r="AK19" s="590"/>
      <c r="AL19" s="590"/>
      <c r="AM19" s="590"/>
      <c r="AN19" s="591"/>
    </row>
    <row r="20" spans="2:48" ht="12.6" customHeight="1" x14ac:dyDescent="0.2">
      <c r="B20" s="37" t="s">
        <v>29</v>
      </c>
      <c r="C20" s="38"/>
      <c r="D20" s="38"/>
      <c r="E20" s="38"/>
      <c r="F20" s="38"/>
      <c r="G20" s="38"/>
      <c r="H20" s="38"/>
      <c r="I20" s="38"/>
      <c r="J20" s="38"/>
      <c r="K20" s="39" t="s">
        <v>30</v>
      </c>
      <c r="L20" s="606">
        <v>3.2000000000000002E-3</v>
      </c>
      <c r="M20" s="606"/>
      <c r="N20" s="40" t="s">
        <v>31</v>
      </c>
      <c r="O20" s="606">
        <v>7.4000000000000003E-3</v>
      </c>
      <c r="P20" s="612"/>
      <c r="Q20" s="41" t="s">
        <v>32</v>
      </c>
      <c r="R20" s="42"/>
      <c r="S20" s="42"/>
      <c r="T20" s="42"/>
      <c r="U20" s="42"/>
      <c r="V20" s="42"/>
      <c r="W20" s="609">
        <v>7.1000000000000004E-3</v>
      </c>
      <c r="X20" s="609"/>
      <c r="Y20" s="626" t="s">
        <v>260</v>
      </c>
      <c r="Z20" s="626"/>
      <c r="AA20" s="626"/>
      <c r="AB20" s="626"/>
      <c r="AC20" s="626"/>
      <c r="AD20" s="626"/>
      <c r="AE20" s="626"/>
      <c r="AF20" s="626"/>
      <c r="AG20" s="626"/>
      <c r="AH20" s="626"/>
      <c r="AI20" s="626"/>
      <c r="AJ20" s="626"/>
      <c r="AK20" s="626"/>
      <c r="AL20" s="626"/>
      <c r="AM20" s="626"/>
      <c r="AN20" s="627"/>
      <c r="AT20" s="314"/>
      <c r="AV20" s="12"/>
    </row>
    <row r="21" spans="2:48" ht="12.6" customHeight="1" x14ac:dyDescent="0.2">
      <c r="B21" s="43" t="s">
        <v>33</v>
      </c>
      <c r="C21" s="44"/>
      <c r="D21" s="44"/>
      <c r="E21" s="44"/>
      <c r="F21" s="44"/>
      <c r="G21" s="44"/>
      <c r="H21" s="44"/>
      <c r="I21" s="44"/>
      <c r="J21" s="44"/>
      <c r="K21" s="45" t="s">
        <v>30</v>
      </c>
      <c r="L21" s="607">
        <v>5.0000000000000001E-3</v>
      </c>
      <c r="M21" s="607"/>
      <c r="N21" s="46" t="s">
        <v>31</v>
      </c>
      <c r="O21" s="607">
        <v>9.7000000000000003E-3</v>
      </c>
      <c r="P21" s="608"/>
      <c r="Q21" s="47" t="s">
        <v>34</v>
      </c>
      <c r="R21" s="48"/>
      <c r="S21" s="48"/>
      <c r="T21" s="48"/>
      <c r="U21" s="48"/>
      <c r="V21" s="48"/>
      <c r="W21" s="609">
        <v>9.1999999999999998E-3</v>
      </c>
      <c r="X21" s="609"/>
      <c r="Y21" s="628"/>
      <c r="Z21" s="628"/>
      <c r="AA21" s="628"/>
      <c r="AB21" s="628"/>
      <c r="AC21" s="628"/>
      <c r="AD21" s="628"/>
      <c r="AE21" s="628"/>
      <c r="AF21" s="628"/>
      <c r="AG21" s="628"/>
      <c r="AH21" s="628"/>
      <c r="AI21" s="628"/>
      <c r="AJ21" s="628"/>
      <c r="AK21" s="628"/>
      <c r="AL21" s="628"/>
      <c r="AM21" s="628"/>
      <c r="AN21" s="629"/>
      <c r="AT21" s="314"/>
      <c r="AV21" s="12"/>
    </row>
    <row r="22" spans="2:48" ht="12.6" customHeight="1" x14ac:dyDescent="0.2">
      <c r="B22" s="43" t="s">
        <v>35</v>
      </c>
      <c r="C22" s="44"/>
      <c r="D22" s="44"/>
      <c r="E22" s="44"/>
      <c r="F22" s="44"/>
      <c r="G22" s="44"/>
      <c r="H22" s="44"/>
      <c r="I22" s="44"/>
      <c r="J22" s="44"/>
      <c r="K22" s="45" t="s">
        <v>30</v>
      </c>
      <c r="L22" s="607">
        <v>1.0200000000000001E-2</v>
      </c>
      <c r="M22" s="607"/>
      <c r="N22" s="46" t="s">
        <v>31</v>
      </c>
      <c r="O22" s="607">
        <v>1.21E-2</v>
      </c>
      <c r="P22" s="608"/>
      <c r="Q22" s="47" t="s">
        <v>36</v>
      </c>
      <c r="R22" s="48"/>
      <c r="S22" s="48"/>
      <c r="T22" s="48"/>
      <c r="U22" s="48"/>
      <c r="V22" s="48"/>
      <c r="W22" s="609">
        <v>1.2E-2</v>
      </c>
      <c r="X22" s="609"/>
      <c r="Y22" s="628"/>
      <c r="Z22" s="628"/>
      <c r="AA22" s="628"/>
      <c r="AB22" s="628"/>
      <c r="AC22" s="628"/>
      <c r="AD22" s="628"/>
      <c r="AE22" s="628"/>
      <c r="AF22" s="628"/>
      <c r="AG22" s="628"/>
      <c r="AH22" s="628"/>
      <c r="AI22" s="628"/>
      <c r="AJ22" s="628"/>
      <c r="AK22" s="628"/>
      <c r="AL22" s="628"/>
      <c r="AM22" s="628"/>
      <c r="AN22" s="629"/>
      <c r="AT22" s="314"/>
      <c r="AV22" s="12"/>
    </row>
    <row r="23" spans="2:48" ht="12.6" customHeight="1" x14ac:dyDescent="0.2">
      <c r="B23" s="43" t="s">
        <v>37</v>
      </c>
      <c r="C23" s="44"/>
      <c r="D23" s="44"/>
      <c r="E23" s="44"/>
      <c r="F23" s="44"/>
      <c r="G23" s="44"/>
      <c r="H23" s="44"/>
      <c r="I23" s="44"/>
      <c r="J23" s="44"/>
      <c r="K23" s="45" t="s">
        <v>30</v>
      </c>
      <c r="L23" s="607">
        <v>3.7999999999999999E-2</v>
      </c>
      <c r="M23" s="607"/>
      <c r="N23" s="46" t="s">
        <v>31</v>
      </c>
      <c r="O23" s="607">
        <v>4.6699999999999998E-2</v>
      </c>
      <c r="P23" s="608"/>
      <c r="Q23" s="47" t="s">
        <v>38</v>
      </c>
      <c r="R23" s="48"/>
      <c r="S23" s="48"/>
      <c r="T23" s="48"/>
      <c r="U23" s="48"/>
      <c r="V23" s="48"/>
      <c r="W23" s="609">
        <v>4.6699999999999998E-2</v>
      </c>
      <c r="X23" s="609"/>
      <c r="Y23" s="628"/>
      <c r="Z23" s="628"/>
      <c r="AA23" s="628"/>
      <c r="AB23" s="628"/>
      <c r="AC23" s="628"/>
      <c r="AD23" s="628"/>
      <c r="AE23" s="628"/>
      <c r="AF23" s="628"/>
      <c r="AG23" s="628"/>
      <c r="AH23" s="628"/>
      <c r="AI23" s="628"/>
      <c r="AJ23" s="628"/>
      <c r="AK23" s="628"/>
      <c r="AL23" s="628"/>
      <c r="AM23" s="628"/>
      <c r="AN23" s="629"/>
      <c r="AT23" s="314"/>
      <c r="AV23" s="12"/>
    </row>
    <row r="24" spans="2:48" ht="12.6" customHeight="1" x14ac:dyDescent="0.2">
      <c r="B24" s="43" t="s">
        <v>39</v>
      </c>
      <c r="C24" s="44"/>
      <c r="D24" s="44"/>
      <c r="E24" s="44"/>
      <c r="F24" s="44"/>
      <c r="G24" s="44"/>
      <c r="H24" s="44"/>
      <c r="I24" s="44"/>
      <c r="J24" s="44"/>
      <c r="K24" s="45" t="s">
        <v>30</v>
      </c>
      <c r="L24" s="607">
        <v>6.6400000000000001E-2</v>
      </c>
      <c r="M24" s="607"/>
      <c r="N24" s="46" t="s">
        <v>31</v>
      </c>
      <c r="O24" s="607">
        <v>8.6900000000000005E-2</v>
      </c>
      <c r="P24" s="608"/>
      <c r="Q24" s="47" t="s">
        <v>40</v>
      </c>
      <c r="R24" s="48"/>
      <c r="S24" s="48"/>
      <c r="T24" s="48"/>
      <c r="U24" s="48"/>
      <c r="V24" s="48"/>
      <c r="W24" s="609">
        <v>8.0549999999999997E-2</v>
      </c>
      <c r="X24" s="609"/>
      <c r="Y24" s="628"/>
      <c r="Z24" s="628"/>
      <c r="AA24" s="628"/>
      <c r="AB24" s="628"/>
      <c r="AC24" s="628"/>
      <c r="AD24" s="628"/>
      <c r="AE24" s="628"/>
      <c r="AF24" s="628"/>
      <c r="AG24" s="628"/>
      <c r="AH24" s="628"/>
      <c r="AI24" s="628"/>
      <c r="AJ24" s="628"/>
      <c r="AK24" s="628"/>
      <c r="AL24" s="628"/>
      <c r="AM24" s="628"/>
      <c r="AN24" s="629"/>
      <c r="AT24" s="314"/>
      <c r="AV24" s="12"/>
    </row>
    <row r="25" spans="2:48" ht="12.6" customHeight="1" x14ac:dyDescent="0.2">
      <c r="B25" s="43" t="s">
        <v>41</v>
      </c>
      <c r="C25" s="44"/>
      <c r="D25" s="44"/>
      <c r="E25" s="44"/>
      <c r="F25" s="44"/>
      <c r="G25" s="44"/>
      <c r="H25" s="44"/>
      <c r="I25" s="44"/>
      <c r="J25" s="44"/>
      <c r="K25" s="45" t="s">
        <v>230</v>
      </c>
      <c r="L25" s="303"/>
      <c r="M25" s="303"/>
      <c r="N25" s="46"/>
      <c r="O25" s="303"/>
      <c r="P25" s="304"/>
      <c r="Q25" s="47" t="s">
        <v>42</v>
      </c>
      <c r="R25" s="48"/>
      <c r="S25" s="48"/>
      <c r="T25" s="48" t="s">
        <v>231</v>
      </c>
      <c r="U25" s="48"/>
      <c r="V25" s="48"/>
      <c r="W25" s="609">
        <v>7.0000000000000007E-2</v>
      </c>
      <c r="X25" s="609"/>
      <c r="Y25" s="628"/>
      <c r="Z25" s="628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628"/>
      <c r="AL25" s="628"/>
      <c r="AM25" s="628"/>
      <c r="AN25" s="629"/>
      <c r="AT25" s="314"/>
      <c r="AV25" s="12"/>
    </row>
    <row r="26" spans="2:48" ht="6" customHeight="1" x14ac:dyDescent="0.2"/>
    <row r="27" spans="2:48" ht="12" customHeight="1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2:48" ht="12" customHeight="1" x14ac:dyDescent="0.2">
      <c r="B28" s="12"/>
      <c r="C28" s="12"/>
      <c r="D28" s="12"/>
      <c r="E28" s="12"/>
      <c r="F28" s="12"/>
      <c r="G28" s="12"/>
      <c r="H28" s="12"/>
      <c r="I28" s="12"/>
      <c r="J28" s="12"/>
      <c r="K28" s="12"/>
      <c r="Y28" s="559"/>
      <c r="Z28" s="559"/>
      <c r="AA28" s="559"/>
      <c r="AO28" s="300"/>
    </row>
    <row r="29" spans="2:48" ht="12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9"/>
      <c r="Z29" s="559"/>
      <c r="AA29" s="559"/>
    </row>
    <row r="30" spans="2:48" ht="12" customHeight="1" x14ac:dyDescent="0.2">
      <c r="B30" s="12"/>
      <c r="C30" s="12"/>
      <c r="D30" s="12"/>
      <c r="E30" s="12"/>
      <c r="F30" s="12"/>
      <c r="G30" s="12"/>
      <c r="H30" s="12"/>
      <c r="I30" s="12"/>
      <c r="J30" s="12"/>
      <c r="K30" s="12"/>
      <c r="Y30" s="556"/>
      <c r="Z30" s="557"/>
      <c r="AA30" s="557"/>
    </row>
    <row r="31" spans="2:48" ht="12" customHeight="1" x14ac:dyDescent="0.2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2:48" ht="12" customHeight="1" x14ac:dyDescent="0.2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48" ht="12" customHeight="1" x14ac:dyDescent="0.2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48" ht="12" customHeight="1" x14ac:dyDescent="0.2"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48" ht="12" customHeight="1" x14ac:dyDescent="0.2"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48" s="14" customForma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V36" s="297"/>
    </row>
    <row r="37" spans="1:48" ht="12" customHeight="1" x14ac:dyDescent="0.2"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48" ht="12" customHeight="1" x14ac:dyDescent="0.2"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48" ht="12" customHeight="1" x14ac:dyDescent="0.2"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48" x14ac:dyDescent="0.2"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48" ht="6" customHeight="1" x14ac:dyDescent="0.2"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48" ht="12" customHeight="1" x14ac:dyDescent="0.2"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48" ht="6" customHeight="1" x14ac:dyDescent="0.2"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48" ht="12" customHeight="1" x14ac:dyDescent="0.2"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48" ht="6" customHeight="1" x14ac:dyDescent="0.2"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48" ht="12" customHeight="1" x14ac:dyDescent="0.2"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48" ht="12" customHeight="1" x14ac:dyDescent="0.2"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48" ht="12" customHeight="1" x14ac:dyDescent="0.2"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2:11" ht="12" customHeight="1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2" customHeight="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2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2" customHeight="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2" customHeight="1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2:11" ht="12" customHeight="1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2:11" ht="12" customHeight="1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2:11" ht="12" customHeight="1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2:11" ht="12" customHeight="1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2:11" ht="12" customHeight="1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2:11" ht="12" customHeight="1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2:11" ht="12" customHeight="1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2:11" ht="12" customHeight="1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2:11" ht="12" customHeight="1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2:11" ht="12" customHeight="1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2:11" ht="12" customHeight="1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2:11" ht="12" customHeight="1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2:11" ht="12" customHeight="1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2:11" ht="12" customHeight="1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2:11" ht="12" customHeight="1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2:11" ht="12" customHeight="1" x14ac:dyDescent="0.2"/>
    <row r="70" spans="2:11" ht="12" customHeight="1" x14ac:dyDescent="0.2"/>
    <row r="71" spans="2:11" ht="12" customHeight="1" x14ac:dyDescent="0.2"/>
    <row r="72" spans="2:11" ht="12" customHeight="1" x14ac:dyDescent="0.2"/>
    <row r="73" spans="2:11" ht="12" customHeight="1" x14ac:dyDescent="0.2"/>
    <row r="74" spans="2:11" ht="12" customHeight="1" x14ac:dyDescent="0.2"/>
    <row r="75" spans="2:11" ht="12" customHeight="1" x14ac:dyDescent="0.2"/>
    <row r="76" spans="2:11" ht="12" customHeight="1" x14ac:dyDescent="0.2"/>
    <row r="77" spans="2:11" ht="12" customHeight="1" x14ac:dyDescent="0.2"/>
    <row r="78" spans="2:11" ht="12" customHeight="1" x14ac:dyDescent="0.2"/>
    <row r="79" spans="2:11" ht="12" customHeight="1" x14ac:dyDescent="0.2"/>
    <row r="80" spans="2:1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</sheetData>
  <mergeCells count="36">
    <mergeCell ref="B11:W11"/>
    <mergeCell ref="X11:AL11"/>
    <mergeCell ref="AM11:AN11"/>
    <mergeCell ref="N2:AF3"/>
    <mergeCell ref="B5:Y5"/>
    <mergeCell ref="AE5:AN5"/>
    <mergeCell ref="B8:AD8"/>
    <mergeCell ref="AE8:AN8"/>
    <mergeCell ref="B14:W14"/>
    <mergeCell ref="X14:AF14"/>
    <mergeCell ref="AG14:AN14"/>
    <mergeCell ref="K18:P19"/>
    <mergeCell ref="Q18:X19"/>
    <mergeCell ref="Y18:AI19"/>
    <mergeCell ref="AJ18:AN19"/>
    <mergeCell ref="L20:M20"/>
    <mergeCell ref="O20:P20"/>
    <mergeCell ref="W20:X20"/>
    <mergeCell ref="Y20:AN25"/>
    <mergeCell ref="L21:M21"/>
    <mergeCell ref="O21:P21"/>
    <mergeCell ref="W21:X21"/>
    <mergeCell ref="L22:M22"/>
    <mergeCell ref="O22:P22"/>
    <mergeCell ref="W22:X22"/>
    <mergeCell ref="L23:M23"/>
    <mergeCell ref="O23:P23"/>
    <mergeCell ref="W23:X23"/>
    <mergeCell ref="L24:M24"/>
    <mergeCell ref="O24:P24"/>
    <mergeCell ref="W24:X24"/>
    <mergeCell ref="Y28:AA28"/>
    <mergeCell ref="M29:X29"/>
    <mergeCell ref="Y29:AA29"/>
    <mergeCell ref="Y30:AA30"/>
    <mergeCell ref="W25:X25"/>
  </mergeCells>
  <printOptions horizontalCentered="1"/>
  <pageMargins left="0.19685039370078741" right="0.19685039370078741" top="0.78740157480314965" bottom="0.39370078740157483" header="0.51181102362204722" footer="0.11811023622047245"/>
  <pageSetup paperSize="9" scale="9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5</vt:i4>
      </vt:variant>
    </vt:vector>
  </HeadingPairs>
  <TitlesOfParts>
    <vt:vector size="15" baseType="lpstr">
      <vt:lpstr>RELAÇÃO DAS RUAS</vt:lpstr>
      <vt:lpstr>MEMÓRIA DE CÁLCULO</vt:lpstr>
      <vt:lpstr>PLANILHA CAIXA</vt:lpstr>
      <vt:lpstr>PLANO DE APLICAÇÃO</vt:lpstr>
      <vt:lpstr>RELAÇÃO DE  RUAS</vt:lpstr>
      <vt:lpstr>QCI</vt:lpstr>
      <vt:lpstr>CROQUIS </vt:lpstr>
      <vt:lpstr>CRONOGRAMA</vt:lpstr>
      <vt:lpstr>BDI</vt:lpstr>
      <vt:lpstr>cpu </vt:lpstr>
      <vt:lpstr>BDI!Area_de_impressao</vt:lpstr>
      <vt:lpstr>'CROQUIS '!Area_de_impressao</vt:lpstr>
      <vt:lpstr>'MEMÓRIA DE CÁLCULO'!Area_de_impressao</vt:lpstr>
      <vt:lpstr>'PLANILHA CAIXA'!Area_de_impressao</vt:lpstr>
      <vt:lpstr>'PLANO DE APLICAÇÃO'!Area_de_impressao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CARLA</cp:lastModifiedBy>
  <cp:lastPrinted>2019-07-23T15:18:45Z</cp:lastPrinted>
  <dcterms:created xsi:type="dcterms:W3CDTF">1997-10-23T15:00:26Z</dcterms:created>
  <dcterms:modified xsi:type="dcterms:W3CDTF">2019-07-23T15:19:04Z</dcterms:modified>
</cp:coreProperties>
</file>