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0736" windowHeight="11160" activeTab="3"/>
  </bookViews>
  <sheets>
    <sheet name="orcamento" sheetId="1" r:id="rId1"/>
    <sheet name="COMPOSIÇÃO DE BDI" sheetId="2" r:id="rId2"/>
    <sheet name="CALCULO" sheetId="3" r:id="rId3"/>
    <sheet name="CRONOGRAMA " sheetId="4" r:id="rId4"/>
  </sheets>
  <externalReferences>
    <externalReference r:id="rId5"/>
  </externalReferences>
  <definedNames>
    <definedName name="_xlnm.Print_Area" localSheetId="2">CALCULO!$A$1:$J$165</definedName>
    <definedName name="_xlnm.Print_Area" localSheetId="1">'COMPOSIÇÃO DE BDI'!$B$1:$I$46</definedName>
    <definedName name="_xlnm.Print_Area" localSheetId="3">'CRONOGRAMA '!$A$1:$H$36</definedName>
    <definedName name="_xlnm.Print_Area" localSheetId="0">orcamento!$A$1:$J$169</definedName>
    <definedName name="JR_PAGE_ANCHOR_0_1" localSheetId="2">CALCULO!$A$7</definedName>
    <definedName name="JR_PAGE_ANCHOR_0_1" localSheetId="3">'CRONOGRAMA '!$A$1</definedName>
    <definedName name="JR_PAGE_ANCHOR_0_1">orcamento!$A$7</definedName>
  </definedNames>
  <calcPr calcId="145621"/>
</workbook>
</file>

<file path=xl/calcChain.xml><?xml version="1.0" encoding="utf-8"?>
<calcChain xmlns="http://schemas.openxmlformats.org/spreadsheetml/2006/main">
  <c r="F50" i="1" l="1"/>
  <c r="I50" i="1" s="1"/>
  <c r="H50" i="1"/>
  <c r="F149" i="3"/>
  <c r="F71" i="3"/>
  <c r="F61" i="3"/>
  <c r="F58" i="3"/>
  <c r="F57" i="3"/>
  <c r="F56" i="3"/>
  <c r="F55" i="3"/>
  <c r="F53" i="3"/>
  <c r="F52" i="3"/>
  <c r="F51" i="3"/>
  <c r="F50" i="3"/>
  <c r="F49" i="3"/>
  <c r="F45" i="3"/>
  <c r="F44" i="3"/>
  <c r="F42" i="3"/>
  <c r="F40" i="3"/>
  <c r="F39" i="3"/>
  <c r="F38" i="3"/>
  <c r="F36" i="3"/>
  <c r="F35" i="3"/>
  <c r="F34" i="3"/>
  <c r="H33" i="3"/>
  <c r="F33" i="3"/>
  <c r="I33" i="3" s="1"/>
  <c r="F32" i="3"/>
  <c r="F30" i="3"/>
  <c r="F29" i="3"/>
  <c r="F28" i="3"/>
  <c r="F27" i="3"/>
  <c r="F26" i="3"/>
  <c r="F24" i="3"/>
  <c r="F23" i="3"/>
  <c r="F22" i="3"/>
  <c r="F21" i="3"/>
  <c r="F20" i="3"/>
  <c r="F19" i="3"/>
  <c r="F18" i="3"/>
  <c r="F17" i="3"/>
  <c r="F15" i="3"/>
  <c r="F13" i="3"/>
  <c r="I149" i="1"/>
  <c r="I151" i="1"/>
  <c r="I152" i="1"/>
  <c r="I153" i="1"/>
  <c r="I154" i="1"/>
  <c r="I155" i="1"/>
  <c r="I156" i="1"/>
  <c r="I157" i="1"/>
  <c r="I148" i="1"/>
  <c r="H157" i="1"/>
  <c r="J157" i="1" s="1"/>
  <c r="H156" i="1"/>
  <c r="H155" i="1"/>
  <c r="H154" i="1"/>
  <c r="H153" i="1"/>
  <c r="H152" i="1"/>
  <c r="H151" i="1"/>
  <c r="H150" i="1"/>
  <c r="H149" i="1"/>
  <c r="H148" i="1"/>
  <c r="I146" i="1"/>
  <c r="I145" i="1" s="1"/>
  <c r="H146" i="1"/>
  <c r="J145" i="1" s="1"/>
  <c r="I144" i="1"/>
  <c r="I143" i="1" s="1"/>
  <c r="H144" i="1"/>
  <c r="J143" i="1" s="1"/>
  <c r="I140" i="1"/>
  <c r="I141" i="1"/>
  <c r="I142" i="1"/>
  <c r="I139" i="1"/>
  <c r="H142" i="1"/>
  <c r="H141" i="1"/>
  <c r="H140" i="1"/>
  <c r="H139" i="1"/>
  <c r="H136" i="1"/>
  <c r="I136" i="1"/>
  <c r="I135" i="1"/>
  <c r="H135" i="1"/>
  <c r="I134" i="1"/>
  <c r="I137" i="1"/>
  <c r="H137" i="1"/>
  <c r="H134" i="1"/>
  <c r="I133" i="1"/>
  <c r="H133" i="1"/>
  <c r="I131" i="1"/>
  <c r="I130" i="1" s="1"/>
  <c r="H131" i="1"/>
  <c r="J130" i="1" s="1"/>
  <c r="I129" i="1"/>
  <c r="I128" i="1" s="1"/>
  <c r="H129" i="1"/>
  <c r="J128" i="1" s="1"/>
  <c r="I125" i="1"/>
  <c r="I126" i="1"/>
  <c r="I127" i="1"/>
  <c r="I124" i="1"/>
  <c r="H127" i="1"/>
  <c r="H126" i="1"/>
  <c r="H125" i="1"/>
  <c r="H124" i="1"/>
  <c r="I120" i="1"/>
  <c r="I121" i="1"/>
  <c r="I122" i="1"/>
  <c r="I119" i="1"/>
  <c r="H122" i="1"/>
  <c r="H121" i="1"/>
  <c r="H120" i="1"/>
  <c r="H119" i="1"/>
  <c r="I116" i="1"/>
  <c r="I117" i="1"/>
  <c r="I115" i="1"/>
  <c r="H117" i="1"/>
  <c r="H116" i="1"/>
  <c r="H115" i="1"/>
  <c r="I112" i="1"/>
  <c r="I111" i="1" s="1"/>
  <c r="H112" i="1"/>
  <c r="J111" i="1" s="1"/>
  <c r="I110" i="1"/>
  <c r="I109" i="1"/>
  <c r="H110" i="1"/>
  <c r="H109" i="1"/>
  <c r="I106" i="1"/>
  <c r="I107" i="1"/>
  <c r="I105" i="1"/>
  <c r="H107" i="1"/>
  <c r="H106" i="1"/>
  <c r="H105" i="1"/>
  <c r="I102" i="1"/>
  <c r="I103" i="1"/>
  <c r="I101" i="1"/>
  <c r="H103" i="1"/>
  <c r="H102" i="1"/>
  <c r="H101" i="1"/>
  <c r="I98" i="1"/>
  <c r="I99" i="1"/>
  <c r="I97" i="1"/>
  <c r="H99" i="1"/>
  <c r="H98" i="1"/>
  <c r="H97" i="1"/>
  <c r="I95" i="1"/>
  <c r="I94" i="1"/>
  <c r="H95" i="1"/>
  <c r="H94" i="1"/>
  <c r="I91" i="1"/>
  <c r="I90" i="1"/>
  <c r="H91" i="1"/>
  <c r="H90" i="1"/>
  <c r="I88" i="1"/>
  <c r="I87" i="1" s="1"/>
  <c r="H88" i="1"/>
  <c r="J87" i="1" s="1"/>
  <c r="I86" i="1"/>
  <c r="H86" i="1"/>
  <c r="I84" i="1"/>
  <c r="I83" i="1" s="1"/>
  <c r="H84" i="1"/>
  <c r="J83" i="1" s="1"/>
  <c r="I80" i="1"/>
  <c r="I79" i="1" s="1"/>
  <c r="I78" i="1" s="1"/>
  <c r="H80" i="1"/>
  <c r="J79" i="1" s="1"/>
  <c r="J78" i="1" s="1"/>
  <c r="J76" i="1"/>
  <c r="I76" i="1"/>
  <c r="I73" i="1"/>
  <c r="I74" i="1"/>
  <c r="I75" i="1"/>
  <c r="I71" i="1"/>
  <c r="H75" i="1"/>
  <c r="H74" i="1"/>
  <c r="H73" i="1"/>
  <c r="H72" i="1"/>
  <c r="H71" i="1"/>
  <c r="I69" i="1"/>
  <c r="I68" i="1"/>
  <c r="H69" i="1"/>
  <c r="H68" i="1"/>
  <c r="I66" i="1"/>
  <c r="I65" i="1" s="1"/>
  <c r="H66" i="1"/>
  <c r="J65" i="1" s="1"/>
  <c r="I62" i="1"/>
  <c r="I59" i="1"/>
  <c r="I58" i="1"/>
  <c r="I57" i="1"/>
  <c r="I56" i="1"/>
  <c r="I60" i="1"/>
  <c r="I61" i="1"/>
  <c r="H62" i="1"/>
  <c r="H61" i="1"/>
  <c r="H60" i="1"/>
  <c r="H59" i="1"/>
  <c r="H58" i="1"/>
  <c r="H57" i="1"/>
  <c r="H56" i="1"/>
  <c r="I52" i="1"/>
  <c r="I48" i="1"/>
  <c r="H54" i="1"/>
  <c r="H53" i="1"/>
  <c r="H52" i="1"/>
  <c r="H51" i="1"/>
  <c r="H49" i="1"/>
  <c r="H48" i="1"/>
  <c r="I54" i="1"/>
  <c r="I49" i="1"/>
  <c r="I46" i="1"/>
  <c r="H46" i="1"/>
  <c r="H45" i="1"/>
  <c r="H44" i="1"/>
  <c r="I45" i="1"/>
  <c r="I44" i="1"/>
  <c r="I40" i="1"/>
  <c r="I38" i="1"/>
  <c r="I41" i="1"/>
  <c r="I42" i="1"/>
  <c r="I36" i="1"/>
  <c r="H42" i="1"/>
  <c r="H41" i="1"/>
  <c r="H40" i="1"/>
  <c r="H39" i="1"/>
  <c r="H38" i="1"/>
  <c r="I35" i="1"/>
  <c r="H36" i="1"/>
  <c r="H35" i="1"/>
  <c r="H34" i="1"/>
  <c r="H33" i="1"/>
  <c r="H32" i="1"/>
  <c r="H30" i="1"/>
  <c r="H29" i="1"/>
  <c r="H28" i="1"/>
  <c r="H27" i="1"/>
  <c r="H26" i="1"/>
  <c r="I30" i="1"/>
  <c r="I29" i="1"/>
  <c r="I17" i="1"/>
  <c r="H24" i="1"/>
  <c r="H23" i="1"/>
  <c r="H22" i="1"/>
  <c r="H21" i="1"/>
  <c r="H20" i="1"/>
  <c r="H19" i="1"/>
  <c r="H18" i="1"/>
  <c r="H17" i="1"/>
  <c r="I23" i="1"/>
  <c r="I22" i="1"/>
  <c r="I19" i="1"/>
  <c r="I18" i="1"/>
  <c r="H15" i="1"/>
  <c r="I15" i="1"/>
  <c r="I14" i="1" s="1"/>
  <c r="I12" i="1"/>
  <c r="H13" i="1"/>
  <c r="H12" i="1"/>
  <c r="I13" i="1"/>
  <c r="I6" i="2"/>
  <c r="E18" i="2"/>
  <c r="F18" i="2"/>
  <c r="G18" i="2"/>
  <c r="E19" i="2"/>
  <c r="F19" i="2"/>
  <c r="G19" i="2"/>
  <c r="E20" i="2"/>
  <c r="F20" i="2"/>
  <c r="G20" i="2"/>
  <c r="E21" i="2"/>
  <c r="F21" i="2"/>
  <c r="G21" i="2"/>
  <c r="E22" i="2"/>
  <c r="F22" i="2"/>
  <c r="G22" i="2"/>
  <c r="H26" i="2"/>
  <c r="H23" i="2" s="1"/>
  <c r="H28" i="2" s="1"/>
  <c r="G12" i="2" s="1"/>
  <c r="E27" i="2"/>
  <c r="F27" i="2"/>
  <c r="G27" i="2"/>
  <c r="H27" i="2"/>
  <c r="E28" i="2"/>
  <c r="F28" i="2"/>
  <c r="G28" i="2"/>
  <c r="I118" i="1" l="1"/>
  <c r="J123" i="1"/>
  <c r="I132" i="1"/>
  <c r="J118" i="1"/>
  <c r="J132" i="1"/>
  <c r="J138" i="1"/>
  <c r="I138" i="1"/>
  <c r="I123" i="1"/>
  <c r="J33" i="3"/>
  <c r="J147" i="1"/>
  <c r="C28" i="4" s="1"/>
  <c r="G29" i="4" s="1"/>
  <c r="H29" i="4" s="1"/>
  <c r="I150" i="1"/>
  <c r="I147" i="1" s="1"/>
  <c r="I114" i="1"/>
  <c r="J114" i="1"/>
  <c r="I104" i="1"/>
  <c r="J104" i="1"/>
  <c r="J108" i="1"/>
  <c r="I108" i="1"/>
  <c r="I96" i="1"/>
  <c r="J96" i="1"/>
  <c r="J100" i="1"/>
  <c r="J93" i="1"/>
  <c r="I100" i="1"/>
  <c r="I93" i="1"/>
  <c r="J89" i="1"/>
  <c r="I89" i="1"/>
  <c r="J85" i="1"/>
  <c r="I85" i="1"/>
  <c r="J70" i="1"/>
  <c r="I72" i="1"/>
  <c r="I70" i="1" s="1"/>
  <c r="I67" i="1"/>
  <c r="J67" i="1"/>
  <c r="I53" i="1"/>
  <c r="I43" i="1"/>
  <c r="I51" i="1"/>
  <c r="I33" i="1"/>
  <c r="I55" i="1"/>
  <c r="J11" i="1"/>
  <c r="C4" i="4" s="1"/>
  <c r="D5" i="4" s="1"/>
  <c r="H5" i="4" s="1"/>
  <c r="I28" i="1"/>
  <c r="I39" i="1"/>
  <c r="I37" i="1" s="1"/>
  <c r="I21" i="1"/>
  <c r="I26" i="1"/>
  <c r="I27" i="1"/>
  <c r="I34" i="1"/>
  <c r="I24" i="1"/>
  <c r="I20" i="1"/>
  <c r="I11" i="1"/>
  <c r="J14" i="1"/>
  <c r="C6" i="4" s="1"/>
  <c r="D7" i="4" s="1"/>
  <c r="H7" i="4" s="1"/>
  <c r="I4" i="1"/>
  <c r="I47" i="1" l="1"/>
  <c r="J82" i="1"/>
  <c r="J113" i="1"/>
  <c r="C26" i="4" s="1"/>
  <c r="G27" i="4" s="1"/>
  <c r="H27" i="4" s="1"/>
  <c r="I113" i="1"/>
  <c r="I82" i="1"/>
  <c r="I64" i="1"/>
  <c r="I63" i="1" s="1"/>
  <c r="J92" i="1"/>
  <c r="J64" i="1"/>
  <c r="J63" i="1" s="1"/>
  <c r="C22" i="4" s="1"/>
  <c r="G23" i="4" s="1"/>
  <c r="H23" i="4" s="1"/>
  <c r="I92" i="1"/>
  <c r="I81" i="1" s="1"/>
  <c r="J43" i="1"/>
  <c r="C16" i="4" s="1"/>
  <c r="J55" i="1"/>
  <c r="C20" i="4" s="1"/>
  <c r="G21" i="4" s="1"/>
  <c r="H21" i="4" s="1"/>
  <c r="J47" i="1"/>
  <c r="C18" i="4" s="1"/>
  <c r="I32" i="1"/>
  <c r="I31" i="1" s="1"/>
  <c r="J25" i="1"/>
  <c r="C10" i="4" s="1"/>
  <c r="E11" i="4" s="1"/>
  <c r="H11" i="4" s="1"/>
  <c r="J37" i="1"/>
  <c r="C14" i="4" s="1"/>
  <c r="F15" i="4" s="1"/>
  <c r="H15" i="4" s="1"/>
  <c r="I16" i="1"/>
  <c r="J31" i="1"/>
  <c r="C12" i="4" s="1"/>
  <c r="I25" i="1"/>
  <c r="J16" i="1"/>
  <c r="C8" i="4" s="1"/>
  <c r="D9" i="4" s="1"/>
  <c r="J81" i="1" l="1"/>
  <c r="C24" i="4" s="1"/>
  <c r="G25" i="4" s="1"/>
  <c r="H25" i="4" s="1"/>
  <c r="H9" i="4"/>
  <c r="D31" i="4"/>
  <c r="F19" i="4"/>
  <c r="G19" i="4"/>
  <c r="G17" i="4"/>
  <c r="F17" i="4"/>
  <c r="F13" i="4"/>
  <c r="E13" i="4"/>
  <c r="J159" i="1"/>
  <c r="I10" i="1" s="1"/>
  <c r="C30" i="4" l="1"/>
  <c r="D30" i="4" s="1"/>
  <c r="J160" i="1"/>
  <c r="J10" i="1" s="1"/>
  <c r="G31" i="4"/>
  <c r="F31" i="4"/>
  <c r="H17" i="4"/>
  <c r="H13" i="4"/>
  <c r="E31" i="4"/>
  <c r="H19" i="4"/>
  <c r="J158" i="1"/>
  <c r="E30" i="4" l="1"/>
  <c r="F30" i="4"/>
  <c r="G30" i="4"/>
  <c r="H30" i="4"/>
</calcChain>
</file>

<file path=xl/sharedStrings.xml><?xml version="1.0" encoding="utf-8"?>
<sst xmlns="http://schemas.openxmlformats.org/spreadsheetml/2006/main" count="1436" uniqueCount="550">
  <si>
    <r>
      <rPr>
        <b/>
        <sz val="9"/>
        <rFont val="Arial"/>
        <family val="2"/>
      </rPr>
      <t>ITEM</t>
    </r>
  </si>
  <si>
    <r>
      <rPr>
        <b/>
        <sz val="9"/>
        <rFont val="Arial"/>
        <family val="2"/>
      </rPr>
      <t>CÓDIGO</t>
    </r>
  </si>
  <si>
    <r>
      <rPr>
        <b/>
        <sz val="9"/>
        <rFont val="Arial"/>
        <family val="2"/>
      </rPr>
      <t>DESCRIÇÃO</t>
    </r>
  </si>
  <si>
    <r>
      <rPr>
        <b/>
        <sz val="9"/>
        <rFont val="Arial"/>
        <family val="2"/>
      </rPr>
      <t>FONTE</t>
    </r>
  </si>
  <si>
    <r>
      <rPr>
        <b/>
        <sz val="9"/>
        <rFont val="Arial"/>
        <family val="2"/>
      </rPr>
      <t>UNID</t>
    </r>
  </si>
  <si>
    <r>
      <rPr>
        <b/>
        <sz val="9"/>
        <rFont val="Arial"/>
        <family val="2"/>
      </rPr>
      <t>QUANTIDADE</t>
    </r>
  </si>
  <si>
    <r>
      <rPr>
        <b/>
        <sz val="9"/>
        <rFont val="Arial"/>
        <family val="2"/>
      </rPr>
      <t>PREÇO UNITÁRIO R$</t>
    </r>
  </si>
  <si>
    <r>
      <rPr>
        <b/>
        <sz val="9"/>
        <rFont val="Arial"/>
        <family val="2"/>
      </rPr>
      <t>PREÇO TOTAL R$</t>
    </r>
  </si>
  <si>
    <r>
      <rPr>
        <b/>
        <sz val="9"/>
        <rFont val="Arial"/>
        <family val="2"/>
      </rPr>
      <t>SEM BDI</t>
    </r>
  </si>
  <si>
    <r>
      <rPr>
        <b/>
        <sz val="9"/>
        <rFont val="Arial"/>
        <family val="2"/>
      </rPr>
      <t>COM BDI</t>
    </r>
  </si>
  <si>
    <r>
      <rPr>
        <b/>
        <sz val="9"/>
        <rFont val="Arial"/>
        <family val="2"/>
      </rPr>
      <t>1</t>
    </r>
  </si>
  <si>
    <r>
      <rPr>
        <b/>
        <sz val="9"/>
        <rFont val="Arial"/>
        <family val="2"/>
      </rPr>
      <t>1.1</t>
    </r>
  </si>
  <si>
    <r>
      <rPr>
        <b/>
        <sz val="9"/>
        <rFont val="Arial"/>
        <family val="2"/>
      </rPr>
      <t>SERVIÇOS PRELIMINARES</t>
    </r>
  </si>
  <si>
    <r>
      <rPr>
        <sz val="9"/>
        <rFont val="Arial"/>
        <family val="2"/>
      </rPr>
      <t>1.1.1</t>
    </r>
  </si>
  <si>
    <r>
      <rPr>
        <sz val="9"/>
        <rFont val="Arial"/>
        <family val="2"/>
      </rPr>
      <t>ED-50152</t>
    </r>
  </si>
  <si>
    <r>
      <rPr>
        <sz val="9"/>
        <rFont val="Arial"/>
        <family val="2"/>
      </rPr>
      <t>FORNECIMENTO E COLOCAÇÃO DE PLACA DE OBRA EM CHAPA GALVANIZADA (3,00 X 1,5 0 M) - EM CHAPA GALVANIZADA 0,26 AFIXADAS COM REBITES 540 E PARAFUSOS 3/8, EM ESTRUTURA METÁLICA VIGA U 2" ENRIJECIDA COM METALON 20 X 20, SUPORTE EM EUCALIPTO AUTOCLAVADO PINTADAS</t>
    </r>
  </si>
  <si>
    <r>
      <rPr>
        <sz val="9"/>
        <rFont val="Arial"/>
        <family val="2"/>
      </rPr>
      <t>SETOP</t>
    </r>
  </si>
  <si>
    <r>
      <rPr>
        <sz val="9"/>
        <rFont val="Arial"/>
        <family val="2"/>
      </rPr>
      <t>U</t>
    </r>
  </si>
  <si>
    <r>
      <rPr>
        <sz val="9"/>
        <rFont val="Arial"/>
        <family val="2"/>
      </rPr>
      <t>ED-50273</t>
    </r>
  </si>
  <si>
    <r>
      <rPr>
        <sz val="9"/>
        <rFont val="Arial"/>
        <family val="2"/>
      </rPr>
      <t>LOCAÇÃO DA OBRA (GABARITO)</t>
    </r>
  </si>
  <si>
    <r>
      <rPr>
        <sz val="9"/>
        <rFont val="Arial"/>
        <family val="2"/>
      </rPr>
      <t>m2</t>
    </r>
  </si>
  <si>
    <r>
      <rPr>
        <b/>
        <sz val="9"/>
        <rFont val="Arial"/>
        <family val="2"/>
      </rPr>
      <t>1.2</t>
    </r>
  </si>
  <si>
    <r>
      <rPr>
        <b/>
        <sz val="9"/>
        <rFont val="Arial"/>
        <family val="2"/>
      </rPr>
      <t>TERRAPLANAGEM</t>
    </r>
  </si>
  <si>
    <r>
      <rPr>
        <sz val="9"/>
        <rFont val="Arial"/>
        <family val="2"/>
      </rPr>
      <t>1.2.1</t>
    </r>
  </si>
  <si>
    <r>
      <rPr>
        <sz val="9"/>
        <rFont val="Arial"/>
        <family val="2"/>
      </rPr>
      <t>ED-50703</t>
    </r>
  </si>
  <si>
    <r>
      <rPr>
        <sz val="9"/>
        <rFont val="Arial"/>
        <family val="2"/>
      </rPr>
      <t>LIMPEZA DO TERRENO, INCLUSIVE CAPINA, RASTELAMENTO COM AFASTAMENTO ATÉ 20M E QUEIMA CONTROLADA</t>
    </r>
  </si>
  <si>
    <r>
      <rPr>
        <b/>
        <sz val="9"/>
        <rFont val="Arial"/>
        <family val="2"/>
      </rPr>
      <t>1.3</t>
    </r>
  </si>
  <si>
    <r>
      <rPr>
        <b/>
        <sz val="9"/>
        <rFont val="Arial"/>
        <family val="2"/>
      </rPr>
      <t>FUNDAÇÃO E INFRA-ESTRUTURA</t>
    </r>
  </si>
  <si>
    <r>
      <rPr>
        <sz val="9"/>
        <rFont val="Arial"/>
        <family val="2"/>
      </rPr>
      <t>1.3.1</t>
    </r>
  </si>
  <si>
    <r>
      <rPr>
        <sz val="9"/>
        <rFont val="Arial"/>
        <family val="2"/>
      </rPr>
      <t>ED-51107</t>
    </r>
  </si>
  <si>
    <r>
      <rPr>
        <sz val="9"/>
        <rFont val="Arial"/>
        <family val="2"/>
      </rPr>
      <t>ESCAVAÇÃO MANUAL DE VALAS H &lt;= 1,50 M</t>
    </r>
  </si>
  <si>
    <r>
      <rPr>
        <sz val="9"/>
        <rFont val="Arial"/>
        <family val="2"/>
      </rPr>
      <t>m3</t>
    </r>
  </si>
  <si>
    <r>
      <rPr>
        <sz val="9"/>
        <rFont val="Arial"/>
        <family val="2"/>
      </rPr>
      <t>1.3.2</t>
    </r>
  </si>
  <si>
    <r>
      <rPr>
        <sz val="9"/>
        <rFont val="Arial"/>
        <family val="2"/>
      </rPr>
      <t>ED-51093</t>
    </r>
  </si>
  <si>
    <r>
      <rPr>
        <sz val="9"/>
        <rFont val="Arial"/>
        <family val="2"/>
      </rPr>
      <t>APILOAMENTO DO FUNDO DE VALAS COM SOQUETE</t>
    </r>
  </si>
  <si>
    <r>
      <rPr>
        <sz val="9"/>
        <rFont val="Arial"/>
        <family val="2"/>
      </rPr>
      <t>1.3.3</t>
    </r>
  </si>
  <si>
    <r>
      <rPr>
        <sz val="9"/>
        <rFont val="Arial"/>
        <family val="2"/>
      </rPr>
      <t>93382</t>
    </r>
  </si>
  <si>
    <r>
      <rPr>
        <sz val="9"/>
        <rFont val="Arial"/>
        <family val="2"/>
      </rPr>
      <t>REATERRO MANUAL DE VALAS COM COMPACTAÇÃO MECANIZADA. AF_04/2016</t>
    </r>
  </si>
  <si>
    <r>
      <rPr>
        <sz val="9"/>
        <rFont val="Arial"/>
        <family val="2"/>
      </rPr>
      <t>SINAPI</t>
    </r>
  </si>
  <si>
    <r>
      <rPr>
        <sz val="9"/>
        <rFont val="Arial"/>
        <family val="2"/>
      </rPr>
      <t>M3</t>
    </r>
  </si>
  <si>
    <r>
      <rPr>
        <sz val="9"/>
        <rFont val="Arial"/>
        <family val="2"/>
      </rPr>
      <t>1.3.4</t>
    </r>
  </si>
  <si>
    <r>
      <rPr>
        <sz val="9"/>
        <rFont val="Arial"/>
        <family val="2"/>
      </rPr>
      <t>ED-49812</t>
    </r>
  </si>
  <si>
    <r>
      <rPr>
        <sz val="9"/>
        <rFont val="Arial"/>
        <family val="2"/>
      </rPr>
      <t>LASTRO DE CONCRETO MAGRO, INCLUSIVE TRANSPORTE, LANÇAMENTO E ADENSAMENTO</t>
    </r>
  </si>
  <si>
    <r>
      <rPr>
        <sz val="9"/>
        <rFont val="Arial"/>
        <family val="2"/>
      </rPr>
      <t>1.3.5</t>
    </r>
  </si>
  <si>
    <r>
      <rPr>
        <sz val="9"/>
        <rFont val="Arial"/>
        <family val="2"/>
      </rPr>
      <t>ED-49787</t>
    </r>
  </si>
  <si>
    <r>
      <rPr>
        <sz val="9"/>
        <rFont val="Arial"/>
        <family val="2"/>
      </rPr>
      <t>FORNECIMENTO DE CONCRETO ESTRUTURAL, PREPARADO EM OBRA COM BETONEIRA, COM FCK 25 MPA, INCLUSIVE LANÇAMENTO, ADENSAMENTO E ACABAMENTO (FUNDAÇÃO)</t>
    </r>
  </si>
  <si>
    <r>
      <rPr>
        <sz val="9"/>
        <rFont val="Arial"/>
        <family val="2"/>
      </rPr>
      <t>1.3.6</t>
    </r>
  </si>
  <si>
    <r>
      <rPr>
        <sz val="9"/>
        <rFont val="Arial"/>
        <family val="2"/>
      </rPr>
      <t>ED-48298</t>
    </r>
  </si>
  <si>
    <r>
      <rPr>
        <sz val="9"/>
        <rFont val="Arial"/>
        <family val="2"/>
      </rPr>
      <t>CORTE, DOBRA E MONTAGEM DE AÇO CA-50/60</t>
    </r>
  </si>
  <si>
    <r>
      <rPr>
        <sz val="9"/>
        <rFont val="Arial"/>
        <family val="2"/>
      </rPr>
      <t>Kg</t>
    </r>
  </si>
  <si>
    <r>
      <rPr>
        <sz val="9"/>
        <rFont val="Arial"/>
        <family val="2"/>
      </rPr>
      <t>1.3.7</t>
    </r>
  </si>
  <si>
    <r>
      <rPr>
        <sz val="9"/>
        <rFont val="Arial"/>
        <family val="2"/>
      </rPr>
      <t>98557</t>
    </r>
  </si>
  <si>
    <r>
      <rPr>
        <sz val="9"/>
        <rFont val="Arial"/>
        <family val="2"/>
      </rPr>
      <t>IMPERMEABILIZAÇÃO DE SUPERFÍCIE COM EMULSÃO ASFÁLTICA, 2 DEMÃOS AF_06/2018</t>
    </r>
  </si>
  <si>
    <r>
      <rPr>
        <sz val="9"/>
        <rFont val="Arial"/>
        <family val="2"/>
      </rPr>
      <t>M2</t>
    </r>
  </si>
  <si>
    <r>
      <rPr>
        <sz val="9"/>
        <rFont val="Arial"/>
        <family val="2"/>
      </rPr>
      <t>1.3.8</t>
    </r>
  </si>
  <si>
    <r>
      <rPr>
        <sz val="9"/>
        <rFont val="Arial"/>
        <family val="2"/>
      </rPr>
      <t>96535</t>
    </r>
  </si>
  <si>
    <r>
      <rPr>
        <sz val="9"/>
        <rFont val="Arial"/>
        <family val="2"/>
      </rPr>
      <t>FABRICAÇÃO, MONTAGEM E DESMONTAGEM DE FÔRMA PARA SAPATA, EM MADEIRA SERRADA, E=25 MM, 4 UTILIZAÇÕES. AF_06/2017</t>
    </r>
  </si>
  <si>
    <r>
      <rPr>
        <b/>
        <sz val="9"/>
        <rFont val="Arial"/>
        <family val="2"/>
      </rPr>
      <t>1.4</t>
    </r>
  </si>
  <si>
    <r>
      <rPr>
        <b/>
        <sz val="9"/>
        <rFont val="Arial"/>
        <family val="2"/>
      </rPr>
      <t>SUPERESTRUTURA E ALVENARIA</t>
    </r>
  </si>
  <si>
    <r>
      <rPr>
        <sz val="9"/>
        <rFont val="Arial"/>
        <family val="2"/>
      </rPr>
      <t>1.4.1</t>
    </r>
  </si>
  <si>
    <r>
      <rPr>
        <sz val="9"/>
        <rFont val="Arial"/>
        <family val="2"/>
      </rPr>
      <t>ED-49619</t>
    </r>
  </si>
  <si>
    <r>
      <rPr>
        <sz val="9"/>
        <rFont val="Arial"/>
        <family val="2"/>
      </rPr>
      <t>FORNECIMENTO DE CONCRETO ESTRUTURAL, PREPARADO EM OBRA, COM FCK 25 MPA, INCLUSIVE LANÇAMENTO, ADENSAMENTO E ACABAMENTO</t>
    </r>
  </si>
  <si>
    <r>
      <rPr>
        <sz val="9"/>
        <rFont val="Arial"/>
        <family val="2"/>
      </rPr>
      <t>92443</t>
    </r>
  </si>
  <si>
    <r>
      <rPr>
        <sz val="9"/>
        <rFont val="Arial"/>
        <family val="2"/>
      </rPr>
      <t>MONTAGEM E DESMONTAGEM DE FÔRMA DE PILARES RETANGULARES E ESTRUTURAS SIMILARES, PÉ-DIREITO SIMPLES, EM CHAPA DE MADEIRA COMPENSADA PLASTIFICADA, 18 UTILIZAÇÕES. AF_09/2020</t>
    </r>
  </si>
  <si>
    <r>
      <rPr>
        <sz val="9"/>
        <rFont val="Arial"/>
        <family val="2"/>
      </rPr>
      <t>ED-48231</t>
    </r>
  </si>
  <si>
    <r>
      <rPr>
        <sz val="9"/>
        <rFont val="Arial"/>
        <family val="2"/>
      </rPr>
      <t>ALVENARIA DE VEDAÇÃO COM TIJOLO CERÂMICO FURADO, ESP. 9CM, PARA REVESTIMENTO, INCLUSIVE ARGAMASSA PARA ASSENTAMENTO</t>
    </r>
  </si>
  <si>
    <r>
      <rPr>
        <sz val="9"/>
        <rFont val="Arial"/>
        <family val="2"/>
      </rPr>
      <t>ED-50253</t>
    </r>
  </si>
  <si>
    <r>
      <rPr>
        <sz val="9"/>
        <rFont val="Arial"/>
        <family val="2"/>
      </rPr>
      <t>LAJE PRÉ-MOLDADA, A REVESTIR, INCLUSIVE CAPEAMENTO E = 4 CM, SC = 100 KG/M2, L = 4,00 M</t>
    </r>
  </si>
  <si>
    <r>
      <rPr>
        <sz val="9"/>
        <rFont val="Arial"/>
        <family val="2"/>
      </rPr>
      <t>ED-19644</t>
    </r>
  </si>
  <si>
    <r>
      <rPr>
        <sz val="9"/>
        <rFont val="Arial"/>
        <family val="2"/>
      </rPr>
      <t>ESCORAMENTO METÁLICO PARA LAJE PRÉ-MOLDADA, TIPO "A", ALTURA DE (200 ATÉ 310)CM, EXCLUSIVE DESCARGA, MONTAGEM, DESMONTAGEM E CARGA</t>
    </r>
  </si>
  <si>
    <r>
      <rPr>
        <b/>
        <sz val="9"/>
        <rFont val="Arial"/>
        <family val="2"/>
      </rPr>
      <t>1.5</t>
    </r>
  </si>
  <si>
    <r>
      <rPr>
        <b/>
        <sz val="9"/>
        <rFont val="Arial"/>
        <family val="2"/>
      </rPr>
      <t>REVESTIMENTO DE ALVENARIA E ACABAMENTO</t>
    </r>
  </si>
  <si>
    <r>
      <rPr>
        <sz val="9"/>
        <rFont val="Arial"/>
        <family val="2"/>
      </rPr>
      <t>1.5.1</t>
    </r>
  </si>
  <si>
    <r>
      <rPr>
        <sz val="9"/>
        <rFont val="Arial"/>
        <family val="2"/>
      </rPr>
      <t>87871</t>
    </r>
  </si>
  <si>
    <r>
      <rPr>
        <sz val="9"/>
        <rFont val="Arial"/>
        <family val="2"/>
      </rPr>
      <t>CHAPISCO APLICADO SOMENTE EM ESTRUTURAS DE CONCRETO EM ALVENARIAS INTERNAS, COM DESEMPENADEIRA DENTADA. ARGAMASSA INDUSTRIALIZADA COM PREPARO MANUAL. AF_06/2014</t>
    </r>
  </si>
  <si>
    <r>
      <rPr>
        <sz val="9"/>
        <rFont val="Arial"/>
        <family val="2"/>
      </rPr>
      <t>87530</t>
    </r>
  </si>
  <si>
    <r>
      <rPr>
        <sz val="9"/>
        <rFont val="Arial"/>
        <family val="2"/>
      </rPr>
      <t>MASSA ÚNICA, PARA RECEBIMENTO DE PINTURA, EM ARGAMASSA TRAÇO 1:2:8, PREPARO MANUAL, APLICADA MANUALMENTE EM FACES INTERNAS DE PAREDES, ESPESSURA DE 20MM, COM EXECUÇÃO DE TALISCAS. AF_06/2014</t>
    </r>
  </si>
  <si>
    <r>
      <rPr>
        <sz val="9"/>
        <rFont val="Arial"/>
        <family val="2"/>
      </rPr>
      <t>87536</t>
    </r>
  </si>
  <si>
    <r>
      <rPr>
        <sz val="9"/>
        <rFont val="Arial"/>
        <family val="2"/>
      </rPr>
      <t>EMBOÇO, PARA RECEBIMENTO DE CERÂMICA, EM ARGAMASSA TRAÇO 1:2:8, PREPARO MANUAL, APLICADO MANUALMENTE EM FACES INTERNAS DE PAREDES, PARA AMBIENTE COM ÁREA MAIOR QUE 10M2, ESPESSURA DE 20MM, COM EXECUÇÃO DE TALISCAS. AF_06/2014</t>
    </r>
  </si>
  <si>
    <r>
      <rPr>
        <sz val="9"/>
        <rFont val="Arial"/>
        <family val="2"/>
      </rPr>
      <t>ED-50717</t>
    </r>
  </si>
  <si>
    <r>
      <rPr>
        <sz val="9"/>
        <rFont val="Arial"/>
        <family val="2"/>
      </rPr>
      <t>REVESTIMENTO COM AZULEJO BRANCO (20X20CM), JUNTA A PRUMO, ASSENTAMENTO COM ARGAMASSA INDUSTRIALIZADA, INCLUSIVE REJUNTAMENTO</t>
    </r>
  </si>
  <si>
    <r>
      <rPr>
        <sz val="9"/>
        <rFont val="Arial"/>
        <family val="2"/>
      </rPr>
      <t>ED-50998</t>
    </r>
  </si>
  <si>
    <r>
      <rPr>
        <sz val="9"/>
        <rFont val="Arial"/>
        <family val="2"/>
      </rPr>
      <t>PEITORIL DE GRANITO CINZA ANDORINHA E = 3 CM</t>
    </r>
  </si>
  <si>
    <r>
      <rPr>
        <b/>
        <sz val="9"/>
        <rFont val="Arial"/>
        <family val="2"/>
      </rPr>
      <t>1.6</t>
    </r>
  </si>
  <si>
    <r>
      <rPr>
        <b/>
        <sz val="9"/>
        <rFont val="Arial"/>
        <family val="2"/>
      </rPr>
      <t>PAVIMENTAÇÃO</t>
    </r>
  </si>
  <si>
    <r>
      <rPr>
        <sz val="9"/>
        <rFont val="Arial"/>
        <family val="2"/>
      </rPr>
      <t>1.6.1</t>
    </r>
  </si>
  <si>
    <r>
      <rPr>
        <sz val="9"/>
        <rFont val="Arial"/>
        <family val="2"/>
      </rPr>
      <t>96620</t>
    </r>
  </si>
  <si>
    <r>
      <rPr>
        <sz val="9"/>
        <rFont val="Arial"/>
        <family val="2"/>
      </rPr>
      <t>LASTRO DE CONCRETO MAGRO, APLICADO EM PISOS, LAJES SOBRE SOLO OU RADIERS. AF_08/2017</t>
    </r>
  </si>
  <si>
    <r>
      <rPr>
        <sz val="9"/>
        <rFont val="Arial"/>
        <family val="2"/>
      </rPr>
      <t>1.6.2</t>
    </r>
  </si>
  <si>
    <r>
      <rPr>
        <sz val="9"/>
        <rFont val="Arial"/>
        <family val="2"/>
      </rPr>
      <t>ED-50568</t>
    </r>
  </si>
  <si>
    <r>
      <rPr>
        <sz val="9"/>
        <rFont val="Arial"/>
        <family val="2"/>
      </rPr>
      <t>CONTRAPISO DESEMPENADO COM ARGAMASSA, TRAÇO 1:3 (CIMENTO E AREIA), ESP. 30MM</t>
    </r>
  </si>
  <si>
    <r>
      <rPr>
        <sz val="9"/>
        <rFont val="Arial"/>
        <family val="2"/>
      </rPr>
      <t>1.6.3</t>
    </r>
  </si>
  <si>
    <r>
      <rPr>
        <sz val="9"/>
        <rFont val="Arial"/>
        <family val="2"/>
      </rPr>
      <t>87248</t>
    </r>
  </si>
  <si>
    <r>
      <rPr>
        <sz val="9"/>
        <rFont val="Arial"/>
        <family val="2"/>
      </rPr>
      <t>REVESTIMENTO CERÂMICO PARA PISO COM PLACAS TIPO ESMALTADA EXTRA DE DIMENSÕES 35X35 CM APLICADA EM AMBIENTES DE ÁREA MAIOR QUE 10 M2. AF_06/2014</t>
    </r>
  </si>
  <si>
    <r>
      <rPr>
        <sz val="9"/>
        <rFont val="Arial"/>
        <family val="2"/>
      </rPr>
      <t>1.6.4</t>
    </r>
  </si>
  <si>
    <r>
      <rPr>
        <sz val="9"/>
        <rFont val="Arial"/>
        <family val="2"/>
      </rPr>
      <t>96467</t>
    </r>
  </si>
  <si>
    <r>
      <rPr>
        <sz val="9"/>
        <rFont val="Arial"/>
        <family val="2"/>
      </rPr>
      <t>RODAPÉ CERÂMICO DE 7CM DE ALTURA COM PLACAS TIPO ESMALTADA COMERCIAL DE DIMENSÕES 35X35CM (PADRAO POPULAR). AF_06/2017</t>
    </r>
  </si>
  <si>
    <r>
      <rPr>
        <sz val="9"/>
        <rFont val="Arial"/>
        <family val="2"/>
      </rPr>
      <t>M</t>
    </r>
  </si>
  <si>
    <r>
      <rPr>
        <sz val="9"/>
        <rFont val="Arial"/>
        <family val="2"/>
      </rPr>
      <t>1.6.5</t>
    </r>
  </si>
  <si>
    <r>
      <rPr>
        <sz val="9"/>
        <rFont val="Arial"/>
        <family val="2"/>
      </rPr>
      <t>ED-51003</t>
    </r>
  </si>
  <si>
    <r>
      <rPr>
        <sz val="9"/>
        <rFont val="Arial"/>
        <family val="2"/>
      </rPr>
      <t>SOLEIRA DE GRANITO CINZA ANDORINHA E = 3 CM</t>
    </r>
  </si>
  <si>
    <r>
      <rPr>
        <b/>
        <sz val="9"/>
        <rFont val="Arial"/>
        <family val="2"/>
      </rPr>
      <t>1.7</t>
    </r>
  </si>
  <si>
    <r>
      <rPr>
        <b/>
        <sz val="9"/>
        <rFont val="Arial"/>
        <family val="2"/>
      </rPr>
      <t>COBERTURA</t>
    </r>
  </si>
  <si>
    <r>
      <rPr>
        <sz val="9"/>
        <rFont val="Arial"/>
        <family val="2"/>
      </rPr>
      <t>1.7.1</t>
    </r>
  </si>
  <si>
    <r>
      <rPr>
        <sz val="9"/>
        <rFont val="Arial"/>
        <family val="2"/>
      </rPr>
      <t>92540</t>
    </r>
  </si>
  <si>
    <r>
      <rPr>
        <sz val="9"/>
        <rFont val="Arial"/>
        <family val="2"/>
      </rPr>
      <t>TRAMA DE MADEIRA COMPOSTA POR RIPAS, CAIBROS E TERÇAS PARA TELHADOS DE MAIS QUE 2 ÁGUAS PARA TELHA DE ENCAIXE DE CERÂMICA OU DE CONCRETO, INCLUSO TRANSPORTE VERTICAL. AF_07/2019</t>
    </r>
  </si>
  <si>
    <r>
      <rPr>
        <sz val="9"/>
        <rFont val="Arial"/>
        <family val="2"/>
      </rPr>
      <t>1.7.2</t>
    </r>
  </si>
  <si>
    <r>
      <rPr>
        <sz val="9"/>
        <rFont val="Arial"/>
        <family val="2"/>
      </rPr>
      <t>94204</t>
    </r>
  </si>
  <si>
    <r>
      <rPr>
        <sz val="9"/>
        <rFont val="Arial"/>
        <family val="2"/>
      </rPr>
      <t>TELHAMENTO COM TELHA CERÂMICA CAPA-CANAL, TIPO COLONIAL, COM MAIS DE 2 ÁGUAS, INCLUSO TRANSPORTE VERTICAL. AF_07/2019</t>
    </r>
  </si>
  <si>
    <r>
      <rPr>
        <sz val="9"/>
        <rFont val="Arial"/>
        <family val="2"/>
      </rPr>
      <t>1.7.3</t>
    </r>
  </si>
  <si>
    <r>
      <rPr>
        <sz val="9"/>
        <rFont val="Arial"/>
        <family val="2"/>
      </rPr>
      <t>ED-50648</t>
    </r>
  </si>
  <si>
    <r>
      <rPr>
        <sz val="9"/>
        <rFont val="Arial"/>
        <family val="2"/>
      </rPr>
      <t>CALHA DE CHAPA GALVANIZADA Nº. 22 GSG, DESENVOLVIMENTO = 33 CM</t>
    </r>
  </si>
  <si>
    <r>
      <rPr>
        <sz val="9"/>
        <rFont val="Arial"/>
        <family val="2"/>
      </rPr>
      <t>m</t>
    </r>
  </si>
  <si>
    <r>
      <rPr>
        <b/>
        <sz val="9"/>
        <rFont val="Arial"/>
        <family val="2"/>
      </rPr>
      <t>1.8</t>
    </r>
  </si>
  <si>
    <r>
      <rPr>
        <b/>
        <sz val="9"/>
        <rFont val="Arial"/>
        <family val="2"/>
      </rPr>
      <t>ESQUADRIAS E FERRAGENS</t>
    </r>
  </si>
  <si>
    <r>
      <rPr>
        <sz val="9"/>
        <rFont val="Arial"/>
        <family val="2"/>
      </rPr>
      <t>1.8.1</t>
    </r>
  </si>
  <si>
    <r>
      <rPr>
        <sz val="9"/>
        <rFont val="Arial"/>
        <family val="2"/>
      </rPr>
      <t>PORTA COMPLETA, ESTRUTURA E MARCO EM CHAPA DOBRADA - 80 X 210 CM</t>
    </r>
  </si>
  <si>
    <r>
      <rPr>
        <sz val="9"/>
        <rFont val="Arial"/>
        <family val="2"/>
      </rPr>
      <t>FORNECIMENTO E ASSENTAMENTO DE JANELA DE ALUMÍNIO, LINHA SUPREMA ACABAMENTO ANODIZADO, TIPO BASCULA COM CONTRAMARCO, INCLUSIVE FORNECIMENTO DE VIDRO LISO DE 4MM, FERRAGENS E ACESSÓRIOS</t>
    </r>
  </si>
  <si>
    <r>
      <rPr>
        <sz val="9"/>
        <rFont val="Arial"/>
        <family val="2"/>
      </rPr>
      <t>93183</t>
    </r>
  </si>
  <si>
    <r>
      <rPr>
        <sz val="9"/>
        <rFont val="Arial"/>
        <family val="2"/>
      </rPr>
      <t>VERGA PRÉ-MOLDADA PARA JANELAS COM MAIS DE 1,5 M DE VÃO. AF_03/2016</t>
    </r>
  </si>
  <si>
    <r>
      <rPr>
        <sz val="9"/>
        <rFont val="Arial"/>
        <family val="2"/>
      </rPr>
      <t>93184</t>
    </r>
  </si>
  <si>
    <r>
      <rPr>
        <sz val="9"/>
        <rFont val="Arial"/>
        <family val="2"/>
      </rPr>
      <t>VERGA PRÉ-MOLDADA PARA PORTAS COM ATÉ 1,5 M DE VÃO. AF_03/2016</t>
    </r>
  </si>
  <si>
    <r>
      <rPr>
        <b/>
        <sz val="9"/>
        <rFont val="Arial"/>
        <family val="2"/>
      </rPr>
      <t>1.9</t>
    </r>
  </si>
  <si>
    <r>
      <rPr>
        <b/>
        <sz val="9"/>
        <rFont val="Arial"/>
        <family val="2"/>
      </rPr>
      <t>PINTURA</t>
    </r>
  </si>
  <si>
    <r>
      <rPr>
        <sz val="9"/>
        <rFont val="Arial"/>
        <family val="2"/>
      </rPr>
      <t>1.9.1</t>
    </r>
  </si>
  <si>
    <r>
      <rPr>
        <sz val="9"/>
        <rFont val="Arial"/>
        <family val="2"/>
      </rPr>
      <t>ED-50514</t>
    </r>
  </si>
  <si>
    <r>
      <rPr>
        <sz val="9"/>
        <rFont val="Arial"/>
        <family val="2"/>
      </rPr>
      <t>PREPARAÇÃO PARA EMASSAMENTO OU PINTURA (LÁTEX/ACRÍLICA) EM PAREDE, INCLUSIVE UMA (1) DEMÃO DE SELADOR ACRÍLICO</t>
    </r>
  </si>
  <si>
    <r>
      <rPr>
        <sz val="9"/>
        <rFont val="Arial"/>
        <family val="2"/>
      </rPr>
      <t>1.9.2</t>
    </r>
  </si>
  <si>
    <r>
      <rPr>
        <sz val="9"/>
        <rFont val="Arial"/>
        <family val="2"/>
      </rPr>
      <t>ED-50451</t>
    </r>
  </si>
  <si>
    <r>
      <rPr>
        <sz val="9"/>
        <rFont val="Arial"/>
        <family val="2"/>
      </rPr>
      <t>PINTURA ACRÍLICA EM PAREDE, DUAS (2) DEMÃOS, EXCLUSIVE SELADOR ACRÍLICO E MASSA ACRÍLICA/CORRIDA (PVA)</t>
    </r>
  </si>
  <si>
    <r>
      <rPr>
        <sz val="9"/>
        <rFont val="Arial"/>
        <family val="2"/>
      </rPr>
      <t>1.9.3</t>
    </r>
  </si>
  <si>
    <r>
      <rPr>
        <sz val="9"/>
        <rFont val="Arial"/>
        <family val="2"/>
      </rPr>
      <t>88485</t>
    </r>
  </si>
  <si>
    <r>
      <rPr>
        <sz val="9"/>
        <rFont val="Arial"/>
        <family val="2"/>
      </rPr>
      <t>APLICAÇÃO DE FUNDO SELADOR ACRÍLICO EM PAREDES, UMA DEMÃO. AF_06/2014</t>
    </r>
  </si>
  <si>
    <r>
      <rPr>
        <sz val="9"/>
        <rFont val="Arial"/>
        <family val="2"/>
      </rPr>
      <t>1.9.4</t>
    </r>
  </si>
  <si>
    <r>
      <rPr>
        <sz val="9"/>
        <rFont val="Arial"/>
        <family val="2"/>
      </rPr>
      <t>88489</t>
    </r>
  </si>
  <si>
    <r>
      <rPr>
        <sz val="9"/>
        <rFont val="Arial"/>
        <family val="2"/>
      </rPr>
      <t>APLICAÇÃO MANUAL DE PINTURA COM TINTA LÁTEX ACRÍLICA EM PAREDES, DUAS DEMÃOS. AF_06/2014</t>
    </r>
  </si>
  <si>
    <r>
      <rPr>
        <sz val="9"/>
        <rFont val="Arial"/>
        <family val="2"/>
      </rPr>
      <t>1.9.5</t>
    </r>
  </si>
  <si>
    <r>
      <rPr>
        <sz val="9"/>
        <rFont val="Arial"/>
        <family val="2"/>
      </rPr>
      <t>88484</t>
    </r>
  </si>
  <si>
    <r>
      <rPr>
        <sz val="9"/>
        <rFont val="Arial"/>
        <family val="2"/>
      </rPr>
      <t>APLICAÇÃO DE FUNDO SELADOR ACRÍLICO EM TETO, UMA DEMÃO. AF_06/2014</t>
    </r>
  </si>
  <si>
    <r>
      <rPr>
        <sz val="9"/>
        <rFont val="Arial"/>
        <family val="2"/>
      </rPr>
      <t>1.9.6</t>
    </r>
  </si>
  <si>
    <r>
      <rPr>
        <sz val="9"/>
        <rFont val="Arial"/>
        <family val="2"/>
      </rPr>
      <t>88488</t>
    </r>
  </si>
  <si>
    <r>
      <rPr>
        <sz val="9"/>
        <rFont val="Arial"/>
        <family val="2"/>
      </rPr>
      <t>APLICAÇÃO MANUAL DE PINTURA COM TINTA LÁTEX ACRÍLICA EM TETO, DUAS DEMÃOS. AF_06/2014</t>
    </r>
  </si>
  <si>
    <r>
      <rPr>
        <sz val="9"/>
        <rFont val="Arial"/>
        <family val="2"/>
      </rPr>
      <t>1.9.7</t>
    </r>
  </si>
  <si>
    <r>
      <rPr>
        <sz val="9"/>
        <rFont val="Arial"/>
        <family val="2"/>
      </rPr>
      <t>ED-50491</t>
    </r>
  </si>
  <si>
    <r>
      <rPr>
        <sz val="9"/>
        <rFont val="Arial"/>
        <family val="2"/>
      </rPr>
      <t>PINTURA ESMALTE EM ESQUADRIAS DE FERRO, DUAS (2) DEMÃOS, INCLUSIVE UMA (1) DEMÃO DE FUNDO ANTICORROSIVO</t>
    </r>
  </si>
  <si>
    <r>
      <rPr>
        <b/>
        <sz val="9"/>
        <rFont val="Arial"/>
        <family val="2"/>
      </rPr>
      <t>1.10</t>
    </r>
  </si>
  <si>
    <r>
      <rPr>
        <b/>
        <sz val="9"/>
        <rFont val="Arial"/>
        <family val="2"/>
      </rPr>
      <t>INSTALAÇÕES SANITARIAS</t>
    </r>
  </si>
  <si>
    <r>
      <rPr>
        <b/>
        <sz val="9"/>
        <rFont val="Arial"/>
        <family val="2"/>
      </rPr>
      <t>1.10.1</t>
    </r>
  </si>
  <si>
    <r>
      <rPr>
        <b/>
        <sz val="9"/>
        <rFont val="Arial"/>
        <family val="2"/>
      </rPr>
      <t>ESGOTO</t>
    </r>
  </si>
  <si>
    <r>
      <rPr>
        <b/>
        <sz val="9"/>
        <rFont val="Arial"/>
        <family val="2"/>
      </rPr>
      <t>1.10.1.1</t>
    </r>
  </si>
  <si>
    <r>
      <rPr>
        <b/>
        <sz val="9"/>
        <rFont val="Arial"/>
        <family val="2"/>
      </rPr>
      <t>CAIXAS DE PASSAGEM</t>
    </r>
  </si>
  <si>
    <r>
      <rPr>
        <sz val="9"/>
        <rFont val="Arial"/>
        <family val="2"/>
      </rPr>
      <t>1.10.1.1.1</t>
    </r>
  </si>
  <si>
    <r>
      <rPr>
        <sz val="9"/>
        <rFont val="Arial"/>
        <family val="2"/>
      </rPr>
      <t>ED-49882</t>
    </r>
  </si>
  <si>
    <r>
      <rPr>
        <sz val="9"/>
        <rFont val="Arial"/>
        <family val="2"/>
      </rPr>
      <t>CAIXA DE ESGOTO DE INSPEÇÃO/PASSAGEM EM ALVENARIA (60X60X40CM), REVESTIMENTO EM ARGAMASSA COM ADITIVO IMPERMEABILIZANTE, COM TAMPA DE CONCRETO, INCLUSIVE ESCAVAÇÃO, REATERRO E TRANSPORTE E RETIRADA DO MATERIAL ESCAVADO (EM CAÇAMBA)</t>
    </r>
  </si>
  <si>
    <r>
      <rPr>
        <sz val="9"/>
        <rFont val="Arial"/>
        <family val="2"/>
      </rPr>
      <t>un</t>
    </r>
  </si>
  <si>
    <r>
      <rPr>
        <b/>
        <sz val="9"/>
        <rFont val="Arial"/>
        <family val="2"/>
      </rPr>
      <t>1.10.1.2</t>
    </r>
  </si>
  <si>
    <r>
      <rPr>
        <b/>
        <sz val="9"/>
        <rFont val="Arial"/>
        <family val="2"/>
      </rPr>
      <t>PVC ACESSÓRIOS</t>
    </r>
  </si>
  <si>
    <r>
      <rPr>
        <sz val="9"/>
        <rFont val="Arial"/>
        <family val="2"/>
      </rPr>
      <t>1.10.1.2.1</t>
    </r>
  </si>
  <si>
    <r>
      <rPr>
        <sz val="9"/>
        <rFont val="Arial"/>
        <family val="2"/>
      </rPr>
      <t>ED-50320</t>
    </r>
  </si>
  <si>
    <r>
      <rPr>
        <sz val="9"/>
        <rFont val="Arial"/>
        <family val="2"/>
      </rPr>
      <t>INSTALAÇÃO DE SIFÃO DE METAL PARA LAVATÓRIO, TIPO COPO COM ACABAMENTO CROMADO, DIÂMETRO (1"X1.1/2"), INCLUSIVE FORNECIMENTO</t>
    </r>
  </si>
  <si>
    <r>
      <rPr>
        <sz val="9"/>
        <rFont val="Arial"/>
        <family val="2"/>
      </rPr>
      <t>1.10.1.2.2</t>
    </r>
  </si>
  <si>
    <r>
      <rPr>
        <sz val="9"/>
        <rFont val="Arial"/>
        <family val="2"/>
      </rPr>
      <t>86879</t>
    </r>
  </si>
  <si>
    <r>
      <rPr>
        <sz val="9"/>
        <rFont val="Arial"/>
        <family val="2"/>
      </rPr>
      <t>UN</t>
    </r>
  </si>
  <si>
    <r>
      <rPr>
        <b/>
        <sz val="9"/>
        <rFont val="Arial"/>
        <family val="2"/>
      </rPr>
      <t>1.10.1.3</t>
    </r>
  </si>
  <si>
    <r>
      <rPr>
        <b/>
        <sz val="9"/>
        <rFont val="Arial"/>
        <family val="2"/>
      </rPr>
      <t>PVC ESGOTO</t>
    </r>
  </si>
  <si>
    <r>
      <rPr>
        <sz val="9"/>
        <rFont val="Arial"/>
        <family val="2"/>
      </rPr>
      <t>1.10.1.3.1</t>
    </r>
  </si>
  <si>
    <r>
      <rPr>
        <b/>
        <sz val="9"/>
        <rFont val="Arial"/>
        <family val="2"/>
      </rPr>
      <t>1.10.1.4</t>
    </r>
  </si>
  <si>
    <r>
      <rPr>
        <b/>
        <sz val="9"/>
        <rFont val="Arial"/>
        <family val="2"/>
      </rPr>
      <t>UNIDADES DE TRATAMENTO</t>
    </r>
  </si>
  <si>
    <r>
      <rPr>
        <sz val="9"/>
        <rFont val="Arial"/>
        <family val="2"/>
      </rPr>
      <t>1.10.1.4.2</t>
    </r>
  </si>
  <si>
    <r>
      <rPr>
        <sz val="9"/>
        <rFont val="Arial"/>
        <family val="2"/>
      </rPr>
      <t>98062</t>
    </r>
  </si>
  <si>
    <r>
      <rPr>
        <sz val="9"/>
        <rFont val="Arial"/>
        <family val="2"/>
      </rPr>
      <t>SUMIDOURO CIRCULAR, EM CONCRETO PRÉ-MOLDADO, DIÂMETRO INTERNO = 1,88 M, ALTURA INTERNA = 2,00 M, ÁREA DE INFILTRAÇÃO: 13,1 M² (PARA 5 CONTRIBUINTES). AF_12/2020</t>
    </r>
  </si>
  <si>
    <r>
      <rPr>
        <b/>
        <sz val="9"/>
        <rFont val="Arial"/>
        <family val="2"/>
      </rPr>
      <t>1.10.2</t>
    </r>
  </si>
  <si>
    <r>
      <rPr>
        <b/>
        <sz val="9"/>
        <rFont val="Arial"/>
        <family val="2"/>
      </rPr>
      <t>PLUVIAL</t>
    </r>
  </si>
  <si>
    <r>
      <rPr>
        <b/>
        <sz val="9"/>
        <rFont val="Arial"/>
        <family val="2"/>
      </rPr>
      <t>1.10.2.1</t>
    </r>
  </si>
  <si>
    <r>
      <rPr>
        <sz val="9"/>
        <rFont val="Arial"/>
        <family val="2"/>
      </rPr>
      <t>1.10.2.1.1</t>
    </r>
  </si>
  <si>
    <r>
      <rPr>
        <b/>
        <sz val="9"/>
        <rFont val="Arial"/>
        <family val="2"/>
      </rPr>
      <t>1.11</t>
    </r>
  </si>
  <si>
    <r>
      <rPr>
        <b/>
        <sz val="9"/>
        <rFont val="Arial"/>
        <family val="2"/>
      </rPr>
      <t>INSTALAÇÕES HIDRÁULICAS</t>
    </r>
  </si>
  <si>
    <r>
      <rPr>
        <b/>
        <sz val="9"/>
        <rFont val="Arial"/>
        <family val="2"/>
      </rPr>
      <t>1.11.1</t>
    </r>
  </si>
  <si>
    <r>
      <rPr>
        <b/>
        <sz val="9"/>
        <rFont val="Arial"/>
        <family val="2"/>
      </rPr>
      <t>ALIMENTAÇÃO</t>
    </r>
  </si>
  <si>
    <r>
      <rPr>
        <b/>
        <sz val="9"/>
        <rFont val="Arial"/>
        <family val="2"/>
      </rPr>
      <t>1.11.1.1</t>
    </r>
  </si>
  <si>
    <r>
      <rPr>
        <b/>
        <sz val="9"/>
        <rFont val="Arial"/>
        <family val="2"/>
      </rPr>
      <t>APARELHO</t>
    </r>
  </si>
  <si>
    <r>
      <rPr>
        <sz val="9"/>
        <rFont val="Arial"/>
        <family val="2"/>
      </rPr>
      <t>1.11.1.1.1</t>
    </r>
  </si>
  <si>
    <r>
      <rPr>
        <sz val="9"/>
        <rFont val="Arial"/>
        <family val="2"/>
      </rPr>
      <t>00007602</t>
    </r>
  </si>
  <si>
    <r>
      <rPr>
        <sz val="9"/>
        <rFont val="Arial"/>
        <family val="2"/>
      </rPr>
      <t>TORNEIRA METAL AMARELO COM BICO PARA JARDIM, PADRAO POPULAR, 1/2 " OU 3/4 " (REF 1128)</t>
    </r>
  </si>
  <si>
    <r>
      <rPr>
        <b/>
        <sz val="9"/>
        <rFont val="Arial"/>
        <family val="2"/>
      </rPr>
      <t>1.11.1.2</t>
    </r>
  </si>
  <si>
    <r>
      <rPr>
        <b/>
        <sz val="9"/>
        <rFont val="Arial"/>
        <family val="2"/>
      </rPr>
      <t>METAIS</t>
    </r>
  </si>
  <si>
    <r>
      <rPr>
        <sz val="9"/>
        <rFont val="Arial"/>
        <family val="2"/>
      </rPr>
      <t>1.11.1.2.2</t>
    </r>
  </si>
  <si>
    <r>
      <rPr>
        <sz val="9"/>
        <rFont val="Arial"/>
        <family val="2"/>
      </rPr>
      <t>89352</t>
    </r>
  </si>
  <si>
    <r>
      <rPr>
        <sz val="9"/>
        <rFont val="Arial"/>
        <family val="2"/>
      </rPr>
      <t>REGISTRO DE GAVETA BRUTO, LATÃO, ROSCÁVEL, 1/2", FORNECIDO E INSTALADO EM RAMAL DE ÁGUA. AF_12/2014</t>
    </r>
  </si>
  <si>
    <r>
      <rPr>
        <b/>
        <sz val="9"/>
        <rFont val="Arial"/>
        <family val="2"/>
      </rPr>
      <t>PVC RÍGIDO ROSCÁVEL</t>
    </r>
  </si>
  <si>
    <r>
      <rPr>
        <sz val="9"/>
        <rFont val="Arial"/>
        <family val="2"/>
      </rPr>
      <t>ED-50078</t>
    </r>
  </si>
  <si>
    <r>
      <rPr>
        <sz val="9"/>
        <rFont val="Arial"/>
        <family val="2"/>
      </rPr>
      <t>FORNECIMENTO E ASSENTAMENTO DE TUBO PVC RÍGIDO ROSCÁVEL, ÁGUA FRIA, DN 1/2" (20 MM), INCLUSIVE CONEXÕES</t>
    </r>
  </si>
  <si>
    <r>
      <rPr>
        <b/>
        <sz val="9"/>
        <rFont val="Arial"/>
        <family val="2"/>
      </rPr>
      <t>PVC RÍGIDO SOLDÁVEL</t>
    </r>
  </si>
  <si>
    <r>
      <rPr>
        <sz val="9"/>
        <rFont val="Arial"/>
        <family val="2"/>
      </rPr>
      <t>94783</t>
    </r>
  </si>
  <si>
    <r>
      <rPr>
        <sz val="9"/>
        <rFont val="Arial"/>
        <family val="2"/>
      </rPr>
      <t>ADAPTADOR COM FLANGE E ANEL DE VEDAÇÃO, PVC, SOLDÁVEL, DN 20 MM X 1/2 , INSTALADO EM RESERVAÇÃO DE ÁGUA DE EDIFICAÇÃO QUE POSSUA RESERVATÓRIO DE FIBRA/FIBROCIMENTO FORNECIMENTO E INSTALAÇÃO. AF_06/2016</t>
    </r>
  </si>
  <si>
    <r>
      <rPr>
        <sz val="9"/>
        <rFont val="Arial"/>
        <family val="2"/>
      </rPr>
      <t>ED-50018</t>
    </r>
  </si>
  <si>
    <r>
      <rPr>
        <sz val="9"/>
        <rFont val="Arial"/>
        <family val="2"/>
      </rPr>
      <t>FORNECIMENTO E ASSENTAMENTO DE TUBO PVC RÍGIDO SOLDÁVEL, ÁGUA FRIA, DN 20 MM (1/2"), INCLUSIVE CONEXÕES</t>
    </r>
  </si>
  <si>
    <r>
      <rPr>
        <b/>
        <sz val="9"/>
        <rFont val="Arial"/>
        <family val="2"/>
      </rPr>
      <t>1.11.2</t>
    </r>
  </si>
  <si>
    <r>
      <rPr>
        <b/>
        <sz val="9"/>
        <rFont val="Arial"/>
        <family val="2"/>
      </rPr>
      <t>ÁGUA FRIA</t>
    </r>
  </si>
  <si>
    <r>
      <rPr>
        <b/>
        <sz val="9"/>
        <rFont val="Arial"/>
        <family val="2"/>
      </rPr>
      <t>1.11.2.1</t>
    </r>
  </si>
  <si>
    <r>
      <rPr>
        <sz val="9"/>
        <rFont val="Arial"/>
        <family val="2"/>
      </rPr>
      <t>1.11.2.1.1</t>
    </r>
  </si>
  <si>
    <r>
      <rPr>
        <sz val="9"/>
        <rFont val="Arial"/>
        <family val="2"/>
      </rPr>
      <t>86906</t>
    </r>
  </si>
  <si>
    <r>
      <rPr>
        <sz val="9"/>
        <rFont val="Arial"/>
        <family val="2"/>
      </rPr>
      <t>TORNEIRA CROMADA DE MESA, 1/2? OU 3/4?, PARA LAVATÓRIO, PADRÃO POPULAR - FORNECIMENTO E INSTALAÇÃO. AF_01/2020</t>
    </r>
  </si>
  <si>
    <r>
      <rPr>
        <sz val="9"/>
        <rFont val="Arial"/>
        <family val="2"/>
      </rPr>
      <t>1.11.2.1.2</t>
    </r>
  </si>
  <si>
    <r>
      <rPr>
        <sz val="9"/>
        <rFont val="Arial"/>
        <family val="2"/>
      </rPr>
      <t>95470</t>
    </r>
  </si>
  <si>
    <r>
      <rPr>
        <sz val="9"/>
        <rFont val="Arial"/>
        <family val="2"/>
      </rPr>
      <t>VASO SANITARIO SIFONADO CONVENCIONAL COM LOUÇA BRANCA, INCLUSO CONJUNTO DE LIGAÇÃO PARA BACIA SANITÁRIA AJUSTÁVEL - FORNECIMENTO E INSTALAÇÃO. AF_10/2016</t>
    </r>
  </si>
  <si>
    <r>
      <rPr>
        <b/>
        <sz val="9"/>
        <rFont val="Arial"/>
        <family val="2"/>
      </rPr>
      <t>1.11.2.2</t>
    </r>
  </si>
  <si>
    <r>
      <rPr>
        <sz val="9"/>
        <rFont val="Arial"/>
        <family val="2"/>
      </rPr>
      <t>1.11.2.2.1</t>
    </r>
  </si>
  <si>
    <r>
      <rPr>
        <sz val="9"/>
        <rFont val="Arial"/>
        <family val="2"/>
      </rPr>
      <t>ED-49974</t>
    </r>
  </si>
  <si>
    <r>
      <rPr>
        <sz val="9"/>
        <rFont val="Arial"/>
        <family val="2"/>
      </rPr>
      <t>REGISTRO DE GAVETA, TIPO BRUTO, ROSCÁVEL 1" (PARA TUBO SOLDÁVEL OU PPR DN 32MM/CPVC DN 28MM), INCLUSIVE VOLANTE PARA ACIONAMENTO</t>
    </r>
  </si>
  <si>
    <r>
      <rPr>
        <sz val="9"/>
        <rFont val="Arial"/>
        <family val="2"/>
      </rPr>
      <t>1.11.2.2.2</t>
    </r>
  </si>
  <si>
    <r>
      <rPr>
        <sz val="9"/>
        <rFont val="Arial"/>
        <family val="2"/>
      </rPr>
      <t>89986</t>
    </r>
  </si>
  <si>
    <r>
      <rPr>
        <sz val="9"/>
        <rFont val="Arial"/>
        <family val="2"/>
      </rPr>
      <t>REGISTRO DE GAVETA BRUTO, LATÃO, ROSCÁVEL, 1/2", COM ACABAMENTO E CANOPLA CROMADOS. FORNECIDO E INSTALADO EM RAMAL DE ÁGUA. AF_12/2014</t>
    </r>
  </si>
  <si>
    <r>
      <rPr>
        <sz val="9"/>
        <rFont val="Arial"/>
        <family val="2"/>
      </rPr>
      <t>1.11.2.2.3</t>
    </r>
  </si>
  <si>
    <r>
      <rPr>
        <sz val="9"/>
        <rFont val="Arial"/>
        <family val="2"/>
      </rPr>
      <t>99635</t>
    </r>
  </si>
  <si>
    <r>
      <rPr>
        <sz val="9"/>
        <rFont val="Arial"/>
        <family val="2"/>
      </rPr>
      <t>VÁLVULA DE DESCARGA METÁLICA, BASE 1 1/2 ", ACABAMENTO METALICO CROMADO - FORNECIMENTO E INSTALAÇÃO. AF_01/2019</t>
    </r>
  </si>
  <si>
    <r>
      <rPr>
        <b/>
        <sz val="9"/>
        <rFont val="Arial"/>
        <family val="2"/>
      </rPr>
      <t>1.11.2.3</t>
    </r>
  </si>
  <si>
    <r>
      <rPr>
        <b/>
        <sz val="9"/>
        <rFont val="Arial"/>
        <family val="2"/>
      </rPr>
      <t>PVC ACESSÓRIO</t>
    </r>
  </si>
  <si>
    <r>
      <rPr>
        <sz val="9"/>
        <rFont val="Arial"/>
        <family val="2"/>
      </rPr>
      <t>1.11.2.3.1</t>
    </r>
  </si>
  <si>
    <r>
      <rPr>
        <sz val="9"/>
        <rFont val="Arial"/>
        <family val="2"/>
      </rPr>
      <t>MATED-11710</t>
    </r>
  </si>
  <si>
    <r>
      <rPr>
        <sz val="9"/>
        <rFont val="Arial"/>
        <family val="2"/>
      </rPr>
      <t>BOLSA DE LIGAÇÃO DE BORRACHA PARA VASO SANTÁRIO (DIÂMETRO DA SEÇÃO: 1.1/2")</t>
    </r>
  </si>
  <si>
    <r>
      <rPr>
        <sz val="9"/>
        <rFont val="Arial"/>
        <family val="2"/>
      </rPr>
      <t>1.11.2.3.2</t>
    </r>
  </si>
  <si>
    <r>
      <rPr>
        <sz val="9"/>
        <rFont val="Arial"/>
        <family val="2"/>
      </rPr>
      <t>86884</t>
    </r>
  </si>
  <si>
    <r>
      <rPr>
        <sz val="9"/>
        <rFont val="Arial"/>
        <family val="2"/>
      </rPr>
      <t>ENGATE FLEXÍVEL EM PLÁSTICO BRANCO, 1/2? X 30CM - FORNECIMENTO E INSTALAÇÃO. AF_01/2020</t>
    </r>
  </si>
  <si>
    <r>
      <rPr>
        <sz val="9"/>
        <rFont val="Arial"/>
        <family val="2"/>
      </rPr>
      <t>1.11.2.3.3</t>
    </r>
  </si>
  <si>
    <r>
      <rPr>
        <sz val="9"/>
        <rFont val="Arial"/>
        <family val="2"/>
      </rPr>
      <t>00012613</t>
    </r>
  </si>
  <si>
    <r>
      <rPr>
        <sz val="9"/>
        <rFont val="Arial"/>
        <family val="2"/>
      </rPr>
      <t>TUBO DE DESCARGA PVC, PARA LIGACAO CAIXA DE DESCARGA - EMBUTIR, 40 MM X 150 CM</t>
    </r>
  </si>
  <si>
    <r>
      <rPr>
        <b/>
        <sz val="9"/>
        <rFont val="Arial"/>
        <family val="2"/>
      </rPr>
      <t>1.11.2.4</t>
    </r>
  </si>
  <si>
    <r>
      <rPr>
        <sz val="9"/>
        <rFont val="Arial"/>
        <family val="2"/>
      </rPr>
      <t>1.11.2.4.9</t>
    </r>
  </si>
  <si>
    <r>
      <rPr>
        <sz val="9"/>
        <rFont val="Arial"/>
        <family val="2"/>
      </rPr>
      <t>89401</t>
    </r>
  </si>
  <si>
    <r>
      <rPr>
        <sz val="9"/>
        <rFont val="Arial"/>
        <family val="2"/>
      </rPr>
      <t>TUBO, PVC, SOLDÁVEL, DN 20MM, INSTALADO EM RAMAL DE DISTRIBUIÇÃO DE ÁGUA - FORNECIMENTO E INSTALAÇÃO. AF_12/2014</t>
    </r>
  </si>
  <si>
    <r>
      <rPr>
        <sz val="9"/>
        <rFont val="Arial"/>
        <family val="2"/>
      </rPr>
      <t>1.11.2.4.10</t>
    </r>
  </si>
  <si>
    <r>
      <rPr>
        <sz val="9"/>
        <rFont val="Arial"/>
        <family val="2"/>
      </rPr>
      <t>ED-50020</t>
    </r>
  </si>
  <si>
    <r>
      <rPr>
        <sz val="9"/>
        <rFont val="Arial"/>
        <family val="2"/>
      </rPr>
      <t>FORNECIMENTO E ASSENTAMENTO DE TUBO PVC RÍGIDO SOLDÁVEL, ÁGUA FRIA, DN 32 MM (1") , INCLUSIVE CONEXÕES</t>
    </r>
  </si>
  <si>
    <r>
      <rPr>
        <sz val="9"/>
        <rFont val="Arial"/>
        <family val="2"/>
      </rPr>
      <t>1.11.2.4.11</t>
    </r>
  </si>
  <si>
    <r>
      <rPr>
        <sz val="9"/>
        <rFont val="Arial"/>
        <family val="2"/>
      </rPr>
      <t>ED-50022</t>
    </r>
  </si>
  <si>
    <r>
      <rPr>
        <sz val="9"/>
        <rFont val="Arial"/>
        <family val="2"/>
      </rPr>
      <t>FORNECIMENTO E ASSENTAMENTO DE TUBO PVC RÍGIDO SOLDÁVEL, ÁGUA FRIA, DN 50 MM (1.1/2"), INCLUSIVE CONEXÕES</t>
    </r>
  </si>
  <si>
    <r>
      <rPr>
        <b/>
        <sz val="9"/>
        <rFont val="Arial"/>
        <family val="2"/>
      </rPr>
      <t>1.11.2.5</t>
    </r>
  </si>
  <si>
    <r>
      <rPr>
        <b/>
        <sz val="9"/>
        <rFont val="Arial"/>
        <family val="2"/>
      </rPr>
      <t>PVC SOLDÁVEL AZUL COM BUCHA DE LATÃO</t>
    </r>
  </si>
  <si>
    <r>
      <rPr>
        <sz val="9"/>
        <rFont val="Arial"/>
        <family val="2"/>
      </rPr>
      <t>1.11.2.5.1</t>
    </r>
  </si>
  <si>
    <r>
      <rPr>
        <sz val="9"/>
        <rFont val="Arial"/>
        <family val="2"/>
      </rPr>
      <t>MATED-14458</t>
    </r>
  </si>
  <si>
    <r>
      <rPr>
        <sz val="9"/>
        <rFont val="Arial"/>
        <family val="2"/>
      </rPr>
      <t>JOELHO 90º SOLDÁVEL COM BUCHA DE LATÃO ( MATERIAL: PVC/DIÂMETRO: 20MMX1/2")</t>
    </r>
  </si>
  <si>
    <r>
      <rPr>
        <sz val="9"/>
        <rFont val="Arial"/>
        <family val="2"/>
      </rPr>
      <t>1.11.2.5.2</t>
    </r>
  </si>
  <si>
    <r>
      <rPr>
        <sz val="9"/>
        <rFont val="Arial"/>
        <family val="2"/>
      </rPr>
      <t>00007121</t>
    </r>
  </si>
  <si>
    <r>
      <rPr>
        <sz val="9"/>
        <rFont val="Arial"/>
        <family val="2"/>
      </rPr>
      <t>TE PVC, SOLDAVEL, COM BUCHA DE LATAO NA BOLSA CENTRAL, 90 GRAUS, 20 MM X 1/2", PARA AGUA FRIA PREDIAL</t>
    </r>
  </si>
  <si>
    <r>
      <rPr>
        <b/>
        <sz val="9"/>
        <rFont val="Arial"/>
        <family val="2"/>
      </rPr>
      <t>1.11.2.6</t>
    </r>
  </si>
  <si>
    <r>
      <rPr>
        <b/>
        <sz val="9"/>
        <rFont val="Arial"/>
        <family val="2"/>
      </rPr>
      <t>RESERVATÓRIO</t>
    </r>
  </si>
  <si>
    <r>
      <rPr>
        <sz val="9"/>
        <rFont val="Arial"/>
        <family val="2"/>
      </rPr>
      <t>1.11.2.6.1</t>
    </r>
  </si>
  <si>
    <r>
      <rPr>
        <sz val="9"/>
        <rFont val="Arial"/>
        <family val="2"/>
      </rPr>
      <t>00034636</t>
    </r>
  </si>
  <si>
    <r>
      <rPr>
        <sz val="9"/>
        <rFont val="Arial"/>
        <family val="2"/>
      </rPr>
      <t>CAIXA D'AGUA EM POLIETILENO 1000 LITROS, COM TAMPA</t>
    </r>
  </si>
  <si>
    <r>
      <rPr>
        <b/>
        <sz val="9"/>
        <rFont val="Arial"/>
        <family val="2"/>
      </rPr>
      <t>1.12</t>
    </r>
  </si>
  <si>
    <r>
      <rPr>
        <b/>
        <sz val="9"/>
        <rFont val="Arial"/>
        <family val="2"/>
      </rPr>
      <t>INSTALAÇÕES ELÉTRICAS</t>
    </r>
  </si>
  <si>
    <r>
      <rPr>
        <b/>
        <sz val="9"/>
        <rFont val="Arial"/>
        <family val="2"/>
      </rPr>
      <t>CABO UNIPOLAR (COBRE)</t>
    </r>
  </si>
  <si>
    <r>
      <rPr>
        <sz val="9"/>
        <rFont val="Arial"/>
        <family val="2"/>
      </rPr>
      <t>CABO DE COBRE FLEXÍVEL ISOLADO, 2,5 MM², ANTI-CHAMA 450/750 V, PARA CIRCUITOS TERMINAIS - FORNECIMENTO E INSTALAÇÃO. AF_12/2015</t>
    </r>
  </si>
  <si>
    <r>
      <rPr>
        <sz val="9"/>
        <rFont val="Arial"/>
        <family val="2"/>
      </rPr>
      <t>91928</t>
    </r>
  </si>
  <si>
    <r>
      <rPr>
        <sz val="9"/>
        <rFont val="Arial"/>
        <family val="2"/>
      </rPr>
      <t>CABO DE COBRE FLEXÍVEL ISOLADO, 4 MM², ANTI-CHAMA 450/750 V, PARA CIRCUITOS TERMINAIS - FORNECIMENTO E INSTALAÇÃO. AF_12/2015</t>
    </r>
  </si>
  <si>
    <r>
      <rPr>
        <sz val="9"/>
        <rFont val="Arial"/>
        <family val="2"/>
      </rPr>
      <t>91930</t>
    </r>
  </si>
  <si>
    <r>
      <rPr>
        <sz val="9"/>
        <rFont val="Arial"/>
        <family val="2"/>
      </rPr>
      <t>CABO DE COBRE FLEXÍVEL ISOLADO, 6 MM², ANTI-CHAMA 450/750 V, PARA CIRCUITOS TERMINAIS - FORNECIMENTO E INSTALAÇÃO. AF_12/2015</t>
    </r>
  </si>
  <si>
    <r>
      <rPr>
        <b/>
        <sz val="9"/>
        <rFont val="Arial"/>
        <family val="2"/>
      </rPr>
      <t>DISPOSITIVO ELÉTRICO - EMBUTIDO</t>
    </r>
  </si>
  <si>
    <r>
      <rPr>
        <sz val="9"/>
        <rFont val="Arial"/>
        <family val="2"/>
      </rPr>
      <t>91993</t>
    </r>
  </si>
  <si>
    <r>
      <rPr>
        <sz val="9"/>
        <rFont val="Arial"/>
        <family val="2"/>
      </rPr>
      <t>TOMADA ALTA DE EMBUTIR (1 MÓDULO), 2P+T 20 A, INCLUINDO SUPORTE E PLACA - FORNECIMENTO E INSTALAÇÃO. AF_12/2015</t>
    </r>
  </si>
  <si>
    <r>
      <rPr>
        <sz val="9"/>
        <rFont val="Arial"/>
        <family val="2"/>
      </rPr>
      <t>MATED-13086</t>
    </r>
  </si>
  <si>
    <r>
      <rPr>
        <sz val="9"/>
        <rFont val="Arial"/>
        <family val="2"/>
      </rPr>
      <t>INTERRUPTOR SIMPLES, UMA TECLA, 10A,250V, COM PLACA</t>
    </r>
  </si>
  <si>
    <r>
      <rPr>
        <sz val="9"/>
        <rFont val="Arial"/>
        <family val="2"/>
      </rPr>
      <t>ED-49364</t>
    </r>
  </si>
  <si>
    <r>
      <rPr>
        <sz val="9"/>
        <rFont val="Arial"/>
        <family val="2"/>
      </rPr>
      <t>INTERRUPTOR , UMA TECLA SIMPLES E DUAS TECLAS PARALELO 10 A - 250 V</t>
    </r>
  </si>
  <si>
    <r>
      <rPr>
        <sz val="9"/>
        <rFont val="Arial"/>
        <family val="2"/>
      </rPr>
      <t>ED-49529</t>
    </r>
  </si>
  <si>
    <r>
      <rPr>
        <sz val="9"/>
        <rFont val="Arial"/>
        <family val="2"/>
      </rPr>
      <t>TOMADA SIMPLES - 2P + T - 10A COM PLACA</t>
    </r>
  </si>
  <si>
    <r>
      <rPr>
        <b/>
        <sz val="9"/>
        <rFont val="Arial"/>
        <family val="2"/>
      </rPr>
      <t>DISPOSITIVO DE PROTEÇÃO</t>
    </r>
  </si>
  <si>
    <r>
      <rPr>
        <sz val="9"/>
        <rFont val="Arial"/>
        <family val="2"/>
      </rPr>
      <t>ED-49228</t>
    </r>
  </si>
  <si>
    <r>
      <rPr>
        <sz val="9"/>
        <rFont val="Arial"/>
        <family val="2"/>
      </rPr>
      <t>DISJUNTOR MONOPOLAR TERMOMAGNÉTICO 5KA, DE 10A</t>
    </r>
  </si>
  <si>
    <r>
      <rPr>
        <sz val="9"/>
        <rFont val="Arial"/>
        <family val="2"/>
      </rPr>
      <t>ED-49232</t>
    </r>
  </si>
  <si>
    <r>
      <rPr>
        <sz val="9"/>
        <rFont val="Arial"/>
        <family val="2"/>
      </rPr>
      <t>DISJUNTOR MONOPOLAR TERMOMAGNÉTICO 5KA, DE 25A</t>
    </r>
  </si>
  <si>
    <r>
      <rPr>
        <sz val="9"/>
        <rFont val="Arial"/>
        <family val="2"/>
      </rPr>
      <t>ED-49288</t>
    </r>
  </si>
  <si>
    <r>
      <rPr>
        <sz val="9"/>
        <rFont val="Arial"/>
        <family val="2"/>
      </rPr>
      <t>DISJUNTOR TRIPOLAR TERMOMAGNÉTICO 5KA, DE 40A</t>
    </r>
  </si>
  <si>
    <r>
      <rPr>
        <sz val="9"/>
        <rFont val="Arial"/>
        <family val="2"/>
      </rPr>
      <t>00039468</t>
    </r>
  </si>
  <si>
    <r>
      <rPr>
        <sz val="9"/>
        <rFont val="Arial"/>
        <family val="2"/>
      </rPr>
      <t>DISPOSITIVO DPS CLASSE II, 1 POLO, TENSAO MAXIMA DE 175 V, CORRENTE MAXIMA DE *90* KA (TIPO AC)</t>
    </r>
  </si>
  <si>
    <r>
      <rPr>
        <b/>
        <sz val="9"/>
        <rFont val="Arial"/>
        <family val="2"/>
      </rPr>
      <t>ELETRODUTO PVC FLEXIVEL</t>
    </r>
  </si>
  <si>
    <r>
      <rPr>
        <sz val="9"/>
        <rFont val="Arial"/>
        <family val="2"/>
      </rPr>
      <t>91854</t>
    </r>
  </si>
  <si>
    <r>
      <rPr>
        <sz val="9"/>
        <rFont val="Arial"/>
        <family val="2"/>
      </rPr>
      <t>ELETRODUTO FLEXÍVEL CORRUGADO, PVC, DN 25 MM (3/4"), PARA CIRCUITOS TERMINAIS, INSTALADO EM PAREDE - FORNECIMENTO E INSTALAÇÃO. AF_12/2015</t>
    </r>
  </si>
  <si>
    <r>
      <rPr>
        <b/>
        <sz val="9"/>
        <rFont val="Arial"/>
        <family val="2"/>
      </rPr>
      <t>ELETRODUTO PVC ROSCA</t>
    </r>
  </si>
  <si>
    <r>
      <rPr>
        <sz val="9"/>
        <rFont val="Arial"/>
        <family val="2"/>
      </rPr>
      <t>ED-49309</t>
    </r>
  </si>
  <si>
    <r>
      <rPr>
        <sz val="9"/>
        <rFont val="Arial"/>
        <family val="2"/>
      </rPr>
      <t>ELETRODUTO DE PVC RÍGIDO ROSCÁVEL, DN 25 MM (1"), INCLUSIVE CONEXÕES, SUPORTES E FIXAÇÃO</t>
    </r>
  </si>
  <si>
    <r>
      <rPr>
        <b/>
        <sz val="9"/>
        <rFont val="Arial"/>
        <family val="2"/>
      </rPr>
      <t>LÂMPADA LED</t>
    </r>
  </si>
  <si>
    <r>
      <rPr>
        <sz val="9"/>
        <rFont val="Arial"/>
        <family val="2"/>
      </rPr>
      <t>LÂMPADA LED, BASE E27, POTÊNCIA 15W, BULBO A65, TEMPERATURA DA COR 6500K, TENSÃO 110-127V, FORNECIMENTO E INSTALAÇÃO, EXCLUSIVE LUMINÁRIA</t>
    </r>
  </si>
  <si>
    <r>
      <rPr>
        <b/>
        <sz val="9"/>
        <rFont val="Arial"/>
        <family val="2"/>
      </rPr>
      <t>MATERIAL PARA ENTRADA SERVIÇO</t>
    </r>
  </si>
  <si>
    <r>
      <rPr>
        <sz val="9"/>
        <rFont val="Arial"/>
        <family val="2"/>
      </rPr>
      <t>98111</t>
    </r>
  </si>
  <si>
    <r>
      <rPr>
        <sz val="9"/>
        <rFont val="Arial"/>
        <family val="2"/>
      </rPr>
      <t>CAIXA DE INSPEÇÃO PARA ATERRAMENTO, CIRCULAR, EM POLIETILENO, DIÂMETRO INTERNO = 0,3 M. AF_12/2020</t>
    </r>
  </si>
  <si>
    <r>
      <rPr>
        <sz val="9"/>
        <rFont val="Arial"/>
        <family val="2"/>
      </rPr>
      <t>ED-49342</t>
    </r>
  </si>
  <si>
    <r>
      <rPr>
        <sz val="9"/>
        <rFont val="Arial"/>
        <family val="2"/>
      </rPr>
      <t>HASTE DE AÇO COBREADA PARA ATERRAMENTO DIÂMETRO 3/4"X 3000 MM,CONFORME PADRÕES TELEBRÁS</t>
    </r>
  </si>
  <si>
    <r>
      <rPr>
        <sz val="9"/>
        <rFont val="Arial"/>
        <family val="2"/>
      </rPr>
      <t>MATED-12990</t>
    </r>
  </si>
  <si>
    <r>
      <rPr>
        <sz val="9"/>
        <rFont val="Arial"/>
        <family val="2"/>
      </rPr>
      <t>ISOLADOR ROLDANA</t>
    </r>
  </si>
  <si>
    <r>
      <rPr>
        <sz val="9"/>
        <rFont val="Arial"/>
        <family val="2"/>
      </rPr>
      <t>00000431</t>
    </r>
  </si>
  <si>
    <r>
      <rPr>
        <sz val="9"/>
        <rFont val="Arial"/>
        <family val="2"/>
      </rPr>
      <t>PARAFUSO M16 EM ACO GALVANIZADO, COMPRIMENTO = 200 MM, DIAMETRO = 16 MM, ROSCA MAQUINA, CABECA QUADRADA</t>
    </r>
  </si>
  <si>
    <r>
      <rPr>
        <b/>
        <sz val="9"/>
        <rFont val="Arial"/>
        <family val="2"/>
      </rPr>
      <t>QUADRO MEDIÇÃO - CEMIG</t>
    </r>
  </si>
  <si>
    <r>
      <rPr>
        <sz val="9"/>
        <rFont val="Arial"/>
        <family val="2"/>
      </rPr>
      <t>ED-49419</t>
    </r>
  </si>
  <si>
    <r>
      <rPr>
        <sz val="9"/>
        <rFont val="Arial"/>
        <family val="2"/>
      </rPr>
      <t>PADRÃO CEMIG AÉREO TIPO D1, DEMANDA ATÉ 15 KA,TRIFÁSICO</t>
    </r>
  </si>
  <si>
    <r>
      <rPr>
        <b/>
        <sz val="9"/>
        <rFont val="Arial"/>
        <family val="2"/>
      </rPr>
      <t>QUADRO DISTRIBUIÇÃO</t>
    </r>
  </si>
  <si>
    <r>
      <rPr>
        <sz val="9"/>
        <rFont val="Arial"/>
        <family val="2"/>
      </rPr>
      <t>101879</t>
    </r>
  </si>
  <si>
    <r>
      <rPr>
        <sz val="9"/>
        <rFont val="Arial"/>
        <family val="2"/>
      </rPr>
      <t>QUADRO DE DISTRIBUIÇÃO DE ENERGIA EM CHAPA DE AÇO GALVANIZADO, DE EMBUTIR, COM BARRAMENTO TRIFÁSICO, PARA 24 DISJUNTORES DIN 100A - FORNECIMENTO E INSTALAÇÃO. AF_10/2020</t>
    </r>
  </si>
  <si>
    <r>
      <rPr>
        <b/>
        <sz val="9"/>
        <rFont val="Arial"/>
        <family val="2"/>
      </rPr>
      <t>1.13</t>
    </r>
  </si>
  <si>
    <r>
      <rPr>
        <b/>
        <sz val="9"/>
        <rFont val="Arial"/>
        <family val="2"/>
      </rPr>
      <t>LOUÇAS E METAIS</t>
    </r>
  </si>
  <si>
    <r>
      <rPr>
        <sz val="9"/>
        <rFont val="Arial"/>
        <family val="2"/>
      </rPr>
      <t>1.13.1</t>
    </r>
  </si>
  <si>
    <r>
      <rPr>
        <sz val="9"/>
        <rFont val="Arial"/>
        <family val="2"/>
      </rPr>
      <t>ED-50301</t>
    </r>
  </si>
  <si>
    <r>
      <rPr>
        <sz val="9"/>
        <rFont val="Arial"/>
        <family val="2"/>
      </rPr>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t>
    </r>
  </si>
  <si>
    <r>
      <rPr>
        <sz val="9"/>
        <rFont val="Arial"/>
        <family val="2"/>
      </rPr>
      <t>100873</t>
    </r>
  </si>
  <si>
    <r>
      <rPr>
        <sz val="9"/>
        <rFont val="Arial"/>
        <family val="2"/>
      </rPr>
      <t>BARRA DE APOIO RETA, EM ALUMINIO, COMPRIMENTO 90 CM, FIXADA NA PAREDE - FORNECIMENTO E INSTALAÇÃO. AF_01/2020</t>
    </r>
  </si>
  <si>
    <r>
      <rPr>
        <sz val="9"/>
        <rFont val="Arial"/>
        <family val="2"/>
      </rPr>
      <t>ED-48344</t>
    </r>
  </si>
  <si>
    <r>
      <rPr>
        <sz val="9"/>
        <rFont val="Arial"/>
        <family val="2"/>
      </rPr>
      <t>BANCADA EM GRANITO CINZA ANDORINHA E = 3 CM, APOIADA EM ALVENARIA</t>
    </r>
  </si>
  <si>
    <r>
      <rPr>
        <b/>
        <sz val="9"/>
        <rFont val="Arial"/>
        <family val="2"/>
      </rPr>
      <t>VALOR BDI TOTAL:</t>
    </r>
  </si>
  <si>
    <r>
      <rPr>
        <b/>
        <sz val="9"/>
        <rFont val="Arial"/>
        <family val="2"/>
      </rPr>
      <t>VALOR ORÇAMENTO:</t>
    </r>
  </si>
  <si>
    <r>
      <rPr>
        <b/>
        <sz val="9"/>
        <rFont val="Arial"/>
        <family val="2"/>
      </rPr>
      <t>VALOR TOTAL:</t>
    </r>
  </si>
  <si>
    <t>PLANILHA ORÇAMENTÁRIA DE CUSTOS</t>
  </si>
  <si>
    <t>PREFEITURA MUNICIPAL DE  LONTRA</t>
  </si>
  <si>
    <t>OBRA: CONSTRUÇÃO DE UNIDADE DE APOIO -UBS RURAL</t>
  </si>
  <si>
    <t>REGIÃO/MÊS DE REFERÊNCIA: TABELA SEINFRA - REGIÃO NORTE - MARÇO/2022 - COM DESONERAÇÃO</t>
  </si>
  <si>
    <t>COMPOSIÇÃO/DEMONSTRATIVO DE BDI - EM ANEXO</t>
  </si>
  <si>
    <r>
      <t>FOLHA N</t>
    </r>
    <r>
      <rPr>
        <b/>
        <sz val="8"/>
        <rFont val="Calibri"/>
        <family val="2"/>
        <scheme val="minor"/>
      </rPr>
      <t>º</t>
    </r>
    <r>
      <rPr>
        <b/>
        <sz val="8"/>
        <rFont val="Arial Nova"/>
        <family val="2"/>
      </rPr>
      <t xml:space="preserve">: </t>
    </r>
  </si>
  <si>
    <t>01/01.</t>
  </si>
  <si>
    <t>DATA:</t>
  </si>
  <si>
    <t xml:space="preserve">FORMA DE EXECUÇÃO: </t>
  </si>
  <si>
    <t>(    )</t>
  </si>
  <si>
    <t>DIRETA</t>
  </si>
  <si>
    <t>( X )</t>
  </si>
  <si>
    <t>INDIRETA</t>
  </si>
  <si>
    <t>% ISS MUNICIPAL:</t>
  </si>
  <si>
    <t>BDI:</t>
  </si>
  <si>
    <t>CREA MG 108.066/D</t>
  </si>
  <si>
    <t>SÉRGIO RENATO SILVA DE SÁ</t>
  </si>
  <si>
    <r>
      <t>Declaramos para os devidos fins que a base de cálculo do ISS adotada de</t>
    </r>
    <r>
      <rPr>
        <sz val="10"/>
        <color rgb="FFFF0000"/>
        <rFont val="Arial"/>
        <family val="2"/>
      </rPr>
      <t xml:space="preserve"> 3</t>
    </r>
    <r>
      <rPr>
        <sz val="10"/>
        <color theme="1"/>
        <rFont val="Arial"/>
        <family val="2"/>
      </rPr>
      <t xml:space="preserve">% para a </t>
    </r>
    <r>
      <rPr>
        <sz val="10"/>
        <color rgb="FFFF0000"/>
        <rFont val="Arial"/>
        <family val="2"/>
      </rPr>
      <t>Reforma do campo soçaite</t>
    </r>
    <r>
      <rPr>
        <sz val="10"/>
        <color theme="1"/>
        <rFont val="Arial"/>
        <family val="2"/>
      </rPr>
      <t xml:space="preserve"> , com a respectiva alíquota de </t>
    </r>
    <r>
      <rPr>
        <sz val="10"/>
        <color rgb="FFFF0000"/>
        <rFont val="Arial"/>
        <family val="2"/>
      </rPr>
      <t>3</t>
    </r>
    <r>
      <rPr>
        <sz val="10"/>
        <rFont val="Arial"/>
        <family val="2"/>
      </rPr>
      <t>% do ISS, está de acordo com a legislação tributária municipal Lei nº02/2019.</t>
    </r>
  </si>
  <si>
    <t>TOTAL GERAL DA OBRA</t>
  </si>
  <si>
    <t>TOTAL (%)</t>
  </si>
  <si>
    <t>CPRB</t>
  </si>
  <si>
    <t>ISS (de acordo com a base de cálculo informada acima)</t>
  </si>
  <si>
    <t>PIS</t>
  </si>
  <si>
    <t>COFINS</t>
  </si>
  <si>
    <t>Conforme Legislação Específica</t>
  </si>
  <si>
    <t>Impostos** (I)</t>
  </si>
  <si>
    <t>Lucro (L)</t>
  </si>
  <si>
    <t>Despesas Financeiras (DF)</t>
  </si>
  <si>
    <t xml:space="preserve">Risco (R) </t>
  </si>
  <si>
    <t>Seguro e Garantia (S+G)</t>
  </si>
  <si>
    <t>Administração Central (AC)</t>
  </si>
  <si>
    <t>CONSTRUÇÃO DE EDIFÍCIOS</t>
  </si>
  <si>
    <t>3º Quartil</t>
  </si>
  <si>
    <t>Médio</t>
  </si>
  <si>
    <t>1º Quartil</t>
  </si>
  <si>
    <t>ADOTADO   (%)</t>
  </si>
  <si>
    <r>
      <rPr>
        <b/>
        <sz val="10"/>
        <rFont val="Arial"/>
        <family val="2"/>
      </rPr>
      <t xml:space="preserve">VALORES DE REFERÊNCIA  (%)     </t>
    </r>
    <r>
      <rPr>
        <u/>
        <sz val="10"/>
        <color theme="10"/>
        <rFont val="Arial"/>
        <family val="2"/>
      </rPr>
      <t>Acórdão 2622/2013-TCU-Plenário</t>
    </r>
  </si>
  <si>
    <t>DESCRIÇÃO</t>
  </si>
  <si>
    <t>TIPO DE OBRA/SERVIÇO</t>
  </si>
  <si>
    <t xml:space="preserve">COMPOSIÇÃO DO BDI </t>
  </si>
  <si>
    <t>BDI ADOTADO</t>
  </si>
  <si>
    <t>Com desoneração</t>
  </si>
  <si>
    <t>ORÇAMENTO DESONERADO?</t>
  </si>
  <si>
    <t>FÓRMULA DO BDI</t>
  </si>
  <si>
    <t xml:space="preserve">PRAZO DE EXECUÇÃO: </t>
  </si>
  <si>
    <t>BASE DE CÁLCULO PARA O ISS(%):</t>
  </si>
  <si>
    <t>ALÍQUOTA ISS (2% a 5%):</t>
  </si>
  <si>
    <t xml:space="preserve">REGIÃO/MÊS DE REFERÊNCIA: </t>
  </si>
  <si>
    <t>FORMA DE EXECUÇÃO:</t>
  </si>
  <si>
    <t>LOCAL:</t>
  </si>
  <si>
    <t xml:space="preserve">OBRA: </t>
  </si>
  <si>
    <t>PREFEITURA MUNICIPAL DE LONTRA</t>
  </si>
  <si>
    <t xml:space="preserve">CONVENENTE: </t>
  </si>
  <si>
    <t xml:space="preserve">PLANILHA ORÇAMENTÁRIA DE CUSTOS   </t>
  </si>
  <si>
    <t>REGIÃO NORTE-MARÇO/2022</t>
  </si>
  <si>
    <t>03 MÊS</t>
  </si>
  <si>
    <r>
      <rPr>
        <sz val="9"/>
        <rFont val="Arial"/>
        <family val="2"/>
      </rPr>
      <t>1.4.2</t>
    </r>
    <r>
      <rPr>
        <sz val="11"/>
        <color theme="1"/>
        <rFont val="Calibri"/>
        <family val="2"/>
        <scheme val="minor"/>
      </rPr>
      <t/>
    </r>
  </si>
  <si>
    <r>
      <rPr>
        <sz val="9"/>
        <rFont val="Arial"/>
        <family val="2"/>
      </rPr>
      <t>1.4.3</t>
    </r>
    <r>
      <rPr>
        <sz val="11"/>
        <color theme="1"/>
        <rFont val="Calibri"/>
        <family val="2"/>
        <scheme val="minor"/>
      </rPr>
      <t/>
    </r>
  </si>
  <si>
    <r>
      <rPr>
        <sz val="9"/>
        <rFont val="Arial"/>
        <family val="2"/>
      </rPr>
      <t>1.4.4</t>
    </r>
    <r>
      <rPr>
        <sz val="11"/>
        <color theme="1"/>
        <rFont val="Calibri"/>
        <family val="2"/>
        <scheme val="minor"/>
      </rPr>
      <t/>
    </r>
  </si>
  <si>
    <r>
      <rPr>
        <sz val="9"/>
        <rFont val="Arial"/>
        <family val="2"/>
      </rPr>
      <t>1.4.5</t>
    </r>
    <r>
      <rPr>
        <sz val="11"/>
        <color theme="1"/>
        <rFont val="Calibri"/>
        <family val="2"/>
        <scheme val="minor"/>
      </rPr>
      <t/>
    </r>
  </si>
  <si>
    <r>
      <rPr>
        <sz val="9"/>
        <rFont val="Arial"/>
        <family val="2"/>
      </rPr>
      <t>1.5.2</t>
    </r>
    <r>
      <rPr>
        <sz val="11"/>
        <color theme="1"/>
        <rFont val="Calibri"/>
        <family val="2"/>
        <scheme val="minor"/>
      </rPr>
      <t/>
    </r>
  </si>
  <si>
    <r>
      <rPr>
        <sz val="9"/>
        <rFont val="Arial"/>
        <family val="2"/>
      </rPr>
      <t>1.5.3</t>
    </r>
    <r>
      <rPr>
        <sz val="11"/>
        <color theme="1"/>
        <rFont val="Calibri"/>
        <family val="2"/>
        <scheme val="minor"/>
      </rPr>
      <t/>
    </r>
  </si>
  <si>
    <r>
      <rPr>
        <sz val="9"/>
        <rFont val="Arial"/>
        <family val="2"/>
      </rPr>
      <t>1.5.4</t>
    </r>
    <r>
      <rPr>
        <sz val="11"/>
        <color theme="1"/>
        <rFont val="Calibri"/>
        <family val="2"/>
        <scheme val="minor"/>
      </rPr>
      <t/>
    </r>
  </si>
  <si>
    <r>
      <rPr>
        <sz val="9"/>
        <rFont val="Arial"/>
        <family val="2"/>
      </rPr>
      <t>1.5.5</t>
    </r>
    <r>
      <rPr>
        <sz val="11"/>
        <color theme="1"/>
        <rFont val="Calibri"/>
        <family val="2"/>
        <scheme val="minor"/>
      </rPr>
      <t/>
    </r>
  </si>
  <si>
    <t>ED-50973</t>
  </si>
  <si>
    <t>ED-50979</t>
  </si>
  <si>
    <t>PORTA EM PERFIL E CHAPA METÁLICA</t>
  </si>
  <si>
    <t>M2</t>
  </si>
  <si>
    <t>ED-50961</t>
  </si>
  <si>
    <t>ED-50962</t>
  </si>
  <si>
    <t>FORNECIMENTO E ASSENTAMENTO DE JANELA DE ALUMÍNIO, LINHA SUPREMA ACABAMENTO ANODIZADO, TIPO CORRER COM CONTRAMARCO, INCLUSIVE FORNECIMENTO DE VIDRO LISO DE
4MM, FERRAGENS E ACESSÓRIOS</t>
  </si>
  <si>
    <t>SETOP</t>
  </si>
  <si>
    <t>M</t>
  </si>
  <si>
    <r>
      <rPr>
        <sz val="9"/>
        <rFont val="Arial"/>
        <family val="2"/>
      </rPr>
      <t>1.8.2</t>
    </r>
    <r>
      <rPr>
        <sz val="11"/>
        <color theme="1"/>
        <rFont val="Calibri"/>
        <family val="2"/>
        <scheme val="minor"/>
      </rPr>
      <t/>
    </r>
  </si>
  <si>
    <r>
      <rPr>
        <sz val="9"/>
        <rFont val="Arial"/>
        <family val="2"/>
      </rPr>
      <t>1.8.3</t>
    </r>
    <r>
      <rPr>
        <sz val="11"/>
        <color theme="1"/>
        <rFont val="Calibri"/>
        <family val="2"/>
        <scheme val="minor"/>
      </rPr>
      <t/>
    </r>
  </si>
  <si>
    <r>
      <rPr>
        <sz val="9"/>
        <rFont val="Arial"/>
        <family val="2"/>
      </rPr>
      <t>1.8.4</t>
    </r>
    <r>
      <rPr>
        <sz val="11"/>
        <color theme="1"/>
        <rFont val="Calibri"/>
        <family val="2"/>
        <scheme val="minor"/>
      </rPr>
      <t/>
    </r>
  </si>
  <si>
    <r>
      <rPr>
        <sz val="9"/>
        <rFont val="Arial"/>
        <family val="2"/>
      </rPr>
      <t>1.8.5</t>
    </r>
    <r>
      <rPr>
        <sz val="11"/>
        <color theme="1"/>
        <rFont val="Calibri"/>
        <family val="2"/>
        <scheme val="minor"/>
      </rPr>
      <t/>
    </r>
  </si>
  <si>
    <r>
      <rPr>
        <sz val="9"/>
        <rFont val="Arial"/>
        <family val="2"/>
      </rPr>
      <t>1.8.6</t>
    </r>
    <r>
      <rPr>
        <sz val="11"/>
        <color theme="1"/>
        <rFont val="Calibri"/>
        <family val="2"/>
        <scheme val="minor"/>
      </rPr>
      <t/>
    </r>
  </si>
  <si>
    <t>VÁLVULA EM PLÁSTICO 1? PARA PIA, TANQUE OU LAVATÓRIO, COM OU SEM LADRÃO - FORNECIMENTO E INSTALAÇÃO. AF_01/2020</t>
  </si>
  <si>
    <t>TUBO PVC ESGOTO JS PREDIAL DN 40MM, INCLUSIVE CONEXOES - FORNECIMENTO E INSTALACAO</t>
  </si>
  <si>
    <t>TUBO PVC ESGOTO PREDIAL DN 100MM, INCLUSIVE CONEXOES - FORNECIMENTO E INSTALACAO</t>
  </si>
  <si>
    <t>TUBO PVC ESGOTO PREDIAL DN 50MM, INCLUSIVE CONEXOES - FORNECIMENTO E INSTALACAO</t>
  </si>
  <si>
    <t>JUNCAO PVC ESGOTO 50X50MM - FORNECIMENTO E INSTALACAO</t>
  </si>
  <si>
    <t>UN.</t>
  </si>
  <si>
    <t>ED-50009</t>
  </si>
  <si>
    <t>CAIXA SIFONADA EM PVC COM GRELHA QUADRADA/REDONDA
150 X 185 X 75 MM</t>
  </si>
  <si>
    <r>
      <rPr>
        <sz val="9"/>
        <rFont val="Arial"/>
        <family val="2"/>
      </rPr>
      <t>1.10.1.3.2</t>
    </r>
    <r>
      <rPr>
        <sz val="11"/>
        <color theme="1"/>
        <rFont val="Calibri"/>
        <family val="2"/>
        <scheme val="minor"/>
      </rPr>
      <t/>
    </r>
  </si>
  <si>
    <r>
      <rPr>
        <sz val="9"/>
        <rFont val="Arial"/>
        <family val="2"/>
      </rPr>
      <t>1.10.1.3.3</t>
    </r>
    <r>
      <rPr>
        <sz val="11"/>
        <color theme="1"/>
        <rFont val="Calibri"/>
        <family val="2"/>
        <scheme val="minor"/>
      </rPr>
      <t/>
    </r>
  </si>
  <si>
    <r>
      <rPr>
        <sz val="9"/>
        <rFont val="Arial"/>
        <family val="2"/>
      </rPr>
      <t>1.10.1.3.4</t>
    </r>
    <r>
      <rPr>
        <sz val="11"/>
        <color theme="1"/>
        <rFont val="Calibri"/>
        <family val="2"/>
        <scheme val="minor"/>
      </rPr>
      <t/>
    </r>
  </si>
  <si>
    <r>
      <rPr>
        <sz val="9"/>
        <rFont val="Arial"/>
        <family val="2"/>
      </rPr>
      <t>1.10.1.3.5</t>
    </r>
    <r>
      <rPr>
        <sz val="11"/>
        <color theme="1"/>
        <rFont val="Calibri"/>
        <family val="2"/>
        <scheme val="minor"/>
      </rPr>
      <t/>
    </r>
  </si>
  <si>
    <t>CONDUTOR DE AP DO TELHADO EM TUBO PVC ESGOTO,
INCLUSIVE CONEXÕES E SUPORTES, 75 MM</t>
  </si>
  <si>
    <t>ED-50669</t>
  </si>
  <si>
    <t>ENGENHEIRO CIVIL - CREA-MG108.066/D</t>
  </si>
  <si>
    <t>PREFEITURA MUNICIPAL DE  LONTRA/MG</t>
  </si>
  <si>
    <t>ED-13343</t>
  </si>
  <si>
    <t>ED-13345</t>
  </si>
  <si>
    <t>LUMINÁRIA ARANDELA TIPO MEIA-LUA COMPLETA, DIÂMETRO 25 CM, PARA UMA (1) LÂMPADA LED, POTÊNCIA 15W, BULBO A65,FORNECIMENTO E INSTALAÇÃO, INCLUSIVE BASE E LÂMPADA</t>
  </si>
  <si>
    <t>SINAPI</t>
  </si>
  <si>
    <t>LUMINÁRIA TIPO PLAFON, DE SOBREPOR, COM 1 LÂMPADA LED DE 12/13 W, SEM REATOR - FORNECIMENTO E INSTALAÇÃO. AF_02/2020</t>
  </si>
  <si>
    <t>UN</t>
  </si>
  <si>
    <t>CAIXA OCTOGONAL 4" X 4", METÁLICA, INSTALADA EM LAJE - FORNECIMENTO E INSTALAÇÃO. AF_12/2015</t>
  </si>
  <si>
    <t>CAIXA RETANGULAR 4" X 2" BAIXA (0,30 M DO PISO), METÁLICA, INSTALADA E M PAREDE - FORNECIMENTO E INSTALAÇÃO. AF_12/2015</t>
  </si>
  <si>
    <t>LAVATÓRIO LOUÇA BRANCA SUSPENSO, 29,5 X 39CM OU EQUIVALENTE, PADRÃO PO PULAR - FORNECIMENTO E INSTALAÇÃO. AF_01/2020</t>
  </si>
  <si>
    <t>SABONETEIRA DE PAREDE EM METAL CROMADO, INCLUSO FIXAÇÃO. AF_01/2020</t>
  </si>
  <si>
    <t>ASSENTO SANITÁRIO CONVENCIONAL - FORNECIMENTO E INSTALACAO. AF_01/2020</t>
  </si>
  <si>
    <t>PAPELEIRA DE PAREDE EM METAL CROMADO SEM TAMPA, INCLUSO FIXAÇÃO. AF_01 /2020</t>
  </si>
  <si>
    <r>
      <rPr>
        <sz val="9"/>
        <rFont val="Arial"/>
        <family val="2"/>
      </rPr>
      <t>1.13.4</t>
    </r>
    <r>
      <rPr>
        <sz val="11"/>
        <color theme="1"/>
        <rFont val="Calibri"/>
        <family val="2"/>
        <scheme val="minor"/>
      </rPr>
      <t/>
    </r>
  </si>
  <si>
    <r>
      <rPr>
        <sz val="9"/>
        <rFont val="Arial"/>
        <family val="2"/>
      </rPr>
      <t>1.13.5</t>
    </r>
    <r>
      <rPr>
        <sz val="11"/>
        <color theme="1"/>
        <rFont val="Calibri"/>
        <family val="2"/>
        <scheme val="minor"/>
      </rPr>
      <t/>
    </r>
  </si>
  <si>
    <r>
      <rPr>
        <sz val="9"/>
        <rFont val="Arial"/>
        <family val="2"/>
      </rPr>
      <t>1.13.6</t>
    </r>
    <r>
      <rPr>
        <sz val="11"/>
        <color theme="1"/>
        <rFont val="Calibri"/>
        <family val="2"/>
        <scheme val="minor"/>
      </rPr>
      <t/>
    </r>
  </si>
  <si>
    <r>
      <rPr>
        <sz val="9"/>
        <rFont val="Arial"/>
        <family val="2"/>
      </rPr>
      <t>1.13.7</t>
    </r>
    <r>
      <rPr>
        <sz val="11"/>
        <color theme="1"/>
        <rFont val="Calibri"/>
        <family val="2"/>
        <scheme val="minor"/>
      </rPr>
      <t/>
    </r>
  </si>
  <si>
    <r>
      <rPr>
        <sz val="9"/>
        <rFont val="Arial"/>
        <family val="2"/>
      </rPr>
      <t>1.13.8</t>
    </r>
    <r>
      <rPr>
        <sz val="11"/>
        <color theme="1"/>
        <rFont val="Calibri"/>
        <family val="2"/>
        <scheme val="minor"/>
      </rPr>
      <t/>
    </r>
  </si>
  <si>
    <t>ED-50277</t>
  </si>
  <si>
    <t>U</t>
  </si>
  <si>
    <t>CUBA EM AÇO INOXIDÁVEL DE EMBUTIR, AISI 304, APLICAÇÃO PARA PIA (465X330X115MM), NÚMERO 1, ASSENTAMENTO EM BANCADA, INCLUSIVE VÁLVULA DE ESCOAMENTO DE METAL COM ACABAMENTO CROMADO, SIFÃO DE METAL TIPO COPO COM ACABAMENTO CROMADO, FORNECIMENTO E INSTALAÇÃO</t>
  </si>
  <si>
    <t>ED-50326</t>
  </si>
  <si>
    <t>TORNEIRA METÁLICA PARA PIA, ABERTURA 1/4 DE VOLTA,
ACABAMENTO CROMADO, COM AREJADOR, APLICAÇÃO DE PAREDE, INCLUSIVE FORNECIMENTO E INSTALAÇÃO</t>
  </si>
  <si>
    <r>
      <rPr>
        <sz val="9"/>
        <rFont val="Arial"/>
        <family val="2"/>
      </rPr>
      <t>1.13.9</t>
    </r>
    <r>
      <rPr>
        <sz val="11"/>
        <color theme="1"/>
        <rFont val="Calibri"/>
        <family val="2"/>
        <scheme val="minor"/>
      </rPr>
      <t/>
    </r>
  </si>
  <si>
    <r>
      <rPr>
        <sz val="9"/>
        <rFont val="Arial"/>
        <family val="2"/>
      </rPr>
      <t>1.13.10</t>
    </r>
    <r>
      <rPr>
        <sz val="11"/>
        <color theme="1"/>
        <rFont val="Calibri"/>
        <family val="2"/>
        <scheme val="minor"/>
      </rPr>
      <t/>
    </r>
  </si>
  <si>
    <r>
      <rPr>
        <sz val="9"/>
        <rFont val="Arial"/>
        <family val="2"/>
      </rPr>
      <t>1.1.2</t>
    </r>
    <r>
      <rPr>
        <sz val="11"/>
        <color theme="1"/>
        <rFont val="Calibri"/>
        <family val="2"/>
        <scheme val="minor"/>
      </rPr>
      <t/>
    </r>
  </si>
  <si>
    <t>1.11.1.3</t>
  </si>
  <si>
    <t>1.11.1.3.1</t>
  </si>
  <si>
    <t>1.11.1.4</t>
  </si>
  <si>
    <t>1.11.1.4.1</t>
  </si>
  <si>
    <t>1.11.1.4.2</t>
  </si>
  <si>
    <t>1.12.1</t>
  </si>
  <si>
    <t>1.12.1.1</t>
  </si>
  <si>
    <t>1.12.1.2</t>
  </si>
  <si>
    <t>1.12.1.3</t>
  </si>
  <si>
    <t>1.12.2</t>
  </si>
  <si>
    <t>1.12.2.1</t>
  </si>
  <si>
    <t>1.12.2.2</t>
  </si>
  <si>
    <t>1.12.2.3</t>
  </si>
  <si>
    <t>1.12.2.4</t>
  </si>
  <si>
    <t>1.12.3</t>
  </si>
  <si>
    <t>1.12.3.1</t>
  </si>
  <si>
    <t>1.12.3.2</t>
  </si>
  <si>
    <t>1.12.3.3</t>
  </si>
  <si>
    <t>1.12.3.4</t>
  </si>
  <si>
    <t>1.12.4</t>
  </si>
  <si>
    <t>1.12.4.1</t>
  </si>
  <si>
    <t>1.12.5</t>
  </si>
  <si>
    <t>1.12.5.1</t>
  </si>
  <si>
    <t>1.12.6</t>
  </si>
  <si>
    <t>1.12.6.1</t>
  </si>
  <si>
    <t>1.12.6.2</t>
  </si>
  <si>
    <t>1.12.6.3</t>
  </si>
  <si>
    <t>1.12.6.4</t>
  </si>
  <si>
    <t>1.12.6.5</t>
  </si>
  <si>
    <t>1.12.7</t>
  </si>
  <si>
    <t>1.12.7.1</t>
  </si>
  <si>
    <t>1.12.7.2</t>
  </si>
  <si>
    <t>1.12.7.3</t>
  </si>
  <si>
    <t>1.12.7.4</t>
  </si>
  <si>
    <t>1.12.8</t>
  </si>
  <si>
    <t>1.12.8.1</t>
  </si>
  <si>
    <t>1.12.9</t>
  </si>
  <si>
    <t>1.12.9.1</t>
  </si>
  <si>
    <r>
      <rPr>
        <sz val="9"/>
        <rFont val="Arial"/>
        <family val="2"/>
      </rPr>
      <t>1.13.2</t>
    </r>
    <r>
      <rPr>
        <sz val="11"/>
        <color theme="1"/>
        <rFont val="Calibri"/>
        <family val="2"/>
        <scheme val="minor"/>
      </rPr>
      <t/>
    </r>
  </si>
  <si>
    <r>
      <rPr>
        <sz val="9"/>
        <rFont val="Arial"/>
        <family val="2"/>
      </rPr>
      <t>1.13.3</t>
    </r>
    <r>
      <rPr>
        <sz val="11"/>
        <color theme="1"/>
        <rFont val="Calibri"/>
        <family val="2"/>
        <scheme val="minor"/>
      </rPr>
      <t/>
    </r>
  </si>
  <si>
    <t>MEMORIAL D CALCULO</t>
  </si>
  <si>
    <t>FORMULAS - OBS</t>
  </si>
  <si>
    <t>01 UNIDADE FRENTE DA OBRA</t>
  </si>
  <si>
    <t>8,1*7,15</t>
  </si>
  <si>
    <t>15*15</t>
  </si>
  <si>
    <t>14*0,6*0,6*0,6+42,14*0,2*0,15</t>
  </si>
  <si>
    <t>14*0,6*0,6+42,14*0,15</t>
  </si>
  <si>
    <t>8,1*7,15*0,25</t>
  </si>
  <si>
    <t>14*0,6*0,6*0,05+42,14*0,2*0,15*0,05</t>
  </si>
  <si>
    <t>CONFORME PROJETO</t>
  </si>
  <si>
    <t>42,14*0,15+42,14*2*0,2</t>
  </si>
  <si>
    <t>42,14*2*0,2</t>
  </si>
  <si>
    <t>14*4,3*0,09*0,35+43,96*0,09*0,3</t>
  </si>
  <si>
    <t>14*3*2*0,35+43,96*0,3</t>
  </si>
  <si>
    <t>39,15*2,7+1*2*3,2+30,5*1,3</t>
  </si>
  <si>
    <t>(39,15*2,7+1*2*3,2+7,15*8,1)*2-F34+1,3*30,5</t>
  </si>
  <si>
    <t>18,2*3</t>
  </si>
  <si>
    <t>18,2*3+1,12*3+0,9*0,6</t>
  </si>
  <si>
    <t>5,9*0,14</t>
  </si>
  <si>
    <t>(51,02+0,88)*0,05</t>
  </si>
  <si>
    <t>SOMATÓRIA DOS PISOS INTERNOS</t>
  </si>
  <si>
    <t>SOMATÓRIA DAS PAREDES  INTERNAS</t>
  </si>
  <si>
    <t>6,2*0,14 PORTAS</t>
  </si>
  <si>
    <t>(8,1*7,15*1,08)</t>
  </si>
  <si>
    <t>1,5*2,1</t>
  </si>
  <si>
    <t>2*0,6*0,6+2*1</t>
  </si>
  <si>
    <t>2,7*1</t>
  </si>
  <si>
    <t>(1+1+0,6+0,6+1,2+1,5)*1,35</t>
  </si>
  <si>
    <t>(0,8+0,8+0,8+0,8+1,5)*1,35</t>
  </si>
  <si>
    <t>31,55*3</t>
  </si>
  <si>
    <t>30,5*4,3</t>
  </si>
  <si>
    <t>SOMATORIAS DOS PISOS INTERNOS</t>
  </si>
  <si>
    <t>0,8*2,1*4*2+2,1*1,5*2</t>
  </si>
  <si>
    <t>MEMORIAL DE CALCULO</t>
  </si>
  <si>
    <t>MÊS 3</t>
  </si>
  <si>
    <t>MÊS 4</t>
  </si>
  <si>
    <t>CRONOGRAMA FISICO - FINANCEIRO</t>
  </si>
  <si>
    <t xml:space="preserve"> CONSTRUÇÃO DE UNIDADE DE APOIO -UBS RURAL -COMUNIDADE DE SÃO JOSÉ </t>
  </si>
  <si>
    <t xml:space="preserve">CONSTRUÇÃO DE UNIDADE DE APOIO -UBS RURAL -COMUNIDADE DE SÃO JOSÉ </t>
  </si>
  <si>
    <t>TRAMA DE MADEIRA COMPOSTA POR RIPAS, CAIBROS E TERÇAS PARA TELHADOS DE MAIS QUE 2 ÁGUAS PARA TELHA DE ENCAIXE DE CERÂMICA OU DE CONCRETO, INCLUSO TRANSPORTE VERTICAL. AF_07/2019</t>
  </si>
  <si>
    <r>
      <rPr>
        <sz val="12"/>
        <rFont val="Calibri"/>
        <family val="2"/>
      </rPr>
      <t>ITEM</t>
    </r>
  </si>
  <si>
    <r>
      <rPr>
        <sz val="12"/>
        <rFont val="Calibri"/>
        <family val="2"/>
      </rPr>
      <t>DESCRIÇÃO</t>
    </r>
  </si>
  <si>
    <r>
      <rPr>
        <sz val="12"/>
        <rFont val="Calibri"/>
        <family val="2"/>
      </rPr>
      <t>VALOR (R$)</t>
    </r>
  </si>
  <si>
    <r>
      <rPr>
        <sz val="12"/>
        <rFont val="Calibri"/>
        <family val="2"/>
      </rPr>
      <t>MÊS 1</t>
    </r>
  </si>
  <si>
    <r>
      <rPr>
        <sz val="12"/>
        <rFont val="Calibri"/>
        <family val="2"/>
      </rPr>
      <t>MÊS 2</t>
    </r>
  </si>
  <si>
    <r>
      <rPr>
        <sz val="12"/>
        <rFont val="Calibri"/>
        <family val="2"/>
      </rPr>
      <t>Total parcela</t>
    </r>
  </si>
  <si>
    <r>
      <rPr>
        <sz val="12"/>
        <rFont val="Calibri"/>
        <family val="2"/>
      </rPr>
      <t>1.1</t>
    </r>
  </si>
  <si>
    <r>
      <rPr>
        <sz val="12"/>
        <rFont val="Arial"/>
        <family val="2"/>
      </rPr>
      <t>SERVIÇOS PRELIMINARES</t>
    </r>
  </si>
  <si>
    <r>
      <rPr>
        <sz val="12"/>
        <rFont val="Calibri"/>
        <family val="2"/>
      </rPr>
      <t>1.2</t>
    </r>
  </si>
  <si>
    <r>
      <rPr>
        <sz val="12"/>
        <rFont val="Arial"/>
        <family val="2"/>
      </rPr>
      <t>TERRAPLANAGEM</t>
    </r>
  </si>
  <si>
    <r>
      <rPr>
        <sz val="12"/>
        <rFont val="Calibri"/>
        <family val="2"/>
      </rPr>
      <t>1.3</t>
    </r>
  </si>
  <si>
    <r>
      <rPr>
        <sz val="12"/>
        <rFont val="Arial"/>
        <family val="2"/>
      </rPr>
      <t>FUNDAÇÃO E INFRA-ESTRUTURA</t>
    </r>
  </si>
  <si>
    <r>
      <rPr>
        <sz val="12"/>
        <rFont val="Calibri"/>
        <family val="2"/>
      </rPr>
      <t>1.4</t>
    </r>
  </si>
  <si>
    <r>
      <rPr>
        <sz val="12"/>
        <rFont val="Arial"/>
        <family val="2"/>
      </rPr>
      <t>SUPERESTRUTURA E ALVENARIA</t>
    </r>
  </si>
  <si>
    <r>
      <rPr>
        <sz val="12"/>
        <rFont val="Calibri"/>
        <family val="2"/>
      </rPr>
      <t>1.5</t>
    </r>
  </si>
  <si>
    <r>
      <rPr>
        <sz val="12"/>
        <rFont val="Arial"/>
        <family val="2"/>
      </rPr>
      <t>REVESTIMENTO DE ALVENARIA E ACABAMENTO</t>
    </r>
  </si>
  <si>
    <r>
      <rPr>
        <sz val="12"/>
        <rFont val="Calibri"/>
        <family val="2"/>
      </rPr>
      <t>1.6</t>
    </r>
  </si>
  <si>
    <r>
      <rPr>
        <sz val="12"/>
        <rFont val="Arial"/>
        <family val="2"/>
      </rPr>
      <t>PAVIMENTAÇÃO</t>
    </r>
  </si>
  <si>
    <r>
      <rPr>
        <sz val="12"/>
        <rFont val="Calibri"/>
        <family val="2"/>
      </rPr>
      <t>1.7</t>
    </r>
  </si>
  <si>
    <r>
      <rPr>
        <sz val="12"/>
        <rFont val="Arial"/>
        <family val="2"/>
      </rPr>
      <t>COBERTURA</t>
    </r>
  </si>
  <si>
    <r>
      <rPr>
        <sz val="12"/>
        <rFont val="Calibri"/>
        <family val="2"/>
      </rPr>
      <t>1.8</t>
    </r>
  </si>
  <si>
    <r>
      <rPr>
        <sz val="12"/>
        <rFont val="Arial"/>
        <family val="2"/>
      </rPr>
      <t>ESQUADRIAS E FERRAGENS</t>
    </r>
  </si>
  <si>
    <r>
      <rPr>
        <sz val="12"/>
        <rFont val="Calibri"/>
        <family val="2"/>
      </rPr>
      <t>1.9</t>
    </r>
  </si>
  <si>
    <r>
      <rPr>
        <sz val="12"/>
        <rFont val="Arial"/>
        <family val="2"/>
      </rPr>
      <t>PINTURA</t>
    </r>
  </si>
  <si>
    <r>
      <rPr>
        <sz val="12"/>
        <rFont val="Calibri"/>
        <family val="2"/>
      </rPr>
      <t>1.10</t>
    </r>
  </si>
  <si>
    <r>
      <rPr>
        <sz val="12"/>
        <rFont val="Arial"/>
        <family val="2"/>
      </rPr>
      <t>INSTALAÇÕES SANITARIAS</t>
    </r>
  </si>
  <si>
    <r>
      <rPr>
        <sz val="12"/>
        <rFont val="Calibri"/>
        <family val="2"/>
      </rPr>
      <t>1.11</t>
    </r>
  </si>
  <si>
    <r>
      <rPr>
        <sz val="12"/>
        <rFont val="Arial"/>
        <family val="2"/>
      </rPr>
      <t>INSTALAÇÕES HIDRÁULICAS</t>
    </r>
  </si>
  <si>
    <r>
      <rPr>
        <sz val="12"/>
        <rFont val="Calibri"/>
        <family val="2"/>
      </rPr>
      <t>1.12</t>
    </r>
  </si>
  <si>
    <r>
      <rPr>
        <sz val="12"/>
        <rFont val="Arial"/>
        <family val="2"/>
      </rPr>
      <t>INSTALAÇÕES ELÉTRICAS</t>
    </r>
  </si>
  <si>
    <r>
      <rPr>
        <sz val="12"/>
        <rFont val="Calibri"/>
        <family val="2"/>
      </rPr>
      <t>1.13</t>
    </r>
  </si>
  <si>
    <r>
      <rPr>
        <sz val="12"/>
        <rFont val="Arial"/>
        <family val="2"/>
      </rPr>
      <t>LOUÇAS E METAIS</t>
    </r>
  </si>
  <si>
    <t>SÉRGIO RENATO SILVA SILVA DE SÁ</t>
  </si>
  <si>
    <t>ENGENHEIRO CIVIL - CREA-MG 108.066/D</t>
  </si>
  <si>
    <t>ED-51156</t>
  </si>
  <si>
    <t>VIDRO COMUM LISO INCOLOR, ESP. 4MM, INCLUSIVE FIXAÇÃO E
VEDAÇÃO COM GUARNIÇÃO/GAXETA DE BORRACHA NEOPRENE,
FORNECIMENTO E INSTALAÇÃO, EXCLUSIVE CAIXILHO/PERFIL</t>
  </si>
  <si>
    <r>
      <rPr>
        <sz val="9"/>
        <rFont val="Arial"/>
        <family val="2"/>
      </rPr>
      <t>1.8.7</t>
    </r>
    <r>
      <rPr>
        <sz val="11"/>
        <color theme="1"/>
        <rFont val="Calibri"/>
        <family val="2"/>
        <scheme val="minor"/>
      </rPr>
      <t/>
    </r>
  </si>
  <si>
    <t>1.11.1.2.1</t>
  </si>
  <si>
    <t>LOCAL: EXTREMA II</t>
  </si>
  <si>
    <t>COMUNIDADE DE EXTREMA 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</si>
</sst>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 %\'"/>
  </numFmts>
  <fonts count="37">
    <font>
      <sz val="11"/>
      <color theme="1"/>
      <name val="Calibri"/>
      <family val="2"/>
      <scheme val="minor"/>
    </font>
    <font>
      <sz val="11"/>
      <color theme="1"/>
      <name val="Calibri"/>
      <family val="2"/>
      <scheme val="minor"/>
    </font>
    <font>
      <b/>
      <sz val="9"/>
      <color rgb="FF000000"/>
      <name val="Arial"/>
      <family val="2"/>
    </font>
    <font>
      <b/>
      <sz val="9"/>
      <name val="Arial"/>
      <family val="2"/>
    </font>
    <font>
      <sz val="9"/>
      <color rgb="FF000000"/>
      <name val="Arial"/>
      <family val="2"/>
    </font>
    <font>
      <sz val="9"/>
      <name val="Arial"/>
      <family val="2"/>
    </font>
    <font>
      <sz val="9"/>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Arial"/>
      <family val="2"/>
    </font>
    <font>
      <b/>
      <sz val="8"/>
      <name val="Arial Nova"/>
      <family val="2"/>
    </font>
    <font>
      <b/>
      <sz val="8"/>
      <name val="Calibri"/>
      <family val="2"/>
      <scheme val="minor"/>
    </font>
    <font>
      <b/>
      <sz val="8"/>
      <color rgb="FFFF0000"/>
      <name val="Arial Nova"/>
      <family val="2"/>
    </font>
    <font>
      <sz val="10"/>
      <name val="Arial"/>
      <family val="2"/>
    </font>
    <font>
      <sz val="10"/>
      <color indexed="8"/>
      <name val="Arial"/>
      <family val="2"/>
    </font>
    <font>
      <sz val="8"/>
      <color indexed="8"/>
      <name val="Arial"/>
      <family val="2"/>
    </font>
    <font>
      <sz val="8"/>
      <color rgb="FFFF0000"/>
      <name val="Arial"/>
      <family val="2"/>
    </font>
    <font>
      <sz val="10"/>
      <color theme="1"/>
      <name val="Arial"/>
      <family val="2"/>
    </font>
    <font>
      <sz val="10"/>
      <color rgb="FFFF0000"/>
      <name val="Arial"/>
      <family val="2"/>
    </font>
    <font>
      <b/>
      <sz val="10"/>
      <color indexed="8"/>
      <name val="Arial"/>
      <family val="2"/>
    </font>
    <font>
      <b/>
      <sz val="8"/>
      <color indexed="8"/>
      <name val="Arial"/>
      <family val="2"/>
    </font>
    <font>
      <b/>
      <sz val="8"/>
      <color theme="1"/>
      <name val="Arial"/>
      <family val="2"/>
    </font>
    <font>
      <sz val="8"/>
      <name val="Arial"/>
      <family val="2"/>
    </font>
    <font>
      <b/>
      <sz val="8"/>
      <name val="Arial"/>
      <family val="2"/>
    </font>
    <font>
      <b/>
      <sz val="10"/>
      <color theme="1"/>
      <name val="Arial"/>
      <family val="2"/>
    </font>
    <font>
      <u/>
      <sz val="10"/>
      <color theme="10"/>
      <name val="Arial"/>
      <family val="2"/>
    </font>
    <font>
      <b/>
      <sz val="10"/>
      <name val="Arial"/>
      <family val="2"/>
    </font>
    <font>
      <b/>
      <sz val="12"/>
      <color indexed="8"/>
      <name val="Arial"/>
      <family val="2"/>
    </font>
    <font>
      <sz val="8"/>
      <name val="Calibri"/>
      <family val="2"/>
      <scheme val="minor"/>
    </font>
    <font>
      <b/>
      <sz val="14"/>
      <color theme="1"/>
      <name val="Calibri"/>
      <family val="2"/>
      <scheme val="minor"/>
    </font>
    <font>
      <sz val="12"/>
      <color rgb="FF000000"/>
      <name val="SansSerif"/>
      <family val="2"/>
    </font>
    <font>
      <sz val="12"/>
      <color rgb="FF000000"/>
      <name val="Arial"/>
      <family val="2"/>
    </font>
    <font>
      <sz val="12"/>
      <name val="Calibri"/>
      <family val="2"/>
    </font>
    <font>
      <sz val="12"/>
      <name val="Arial"/>
      <family val="2"/>
    </font>
    <font>
      <sz val="11"/>
      <color rgb="FFFF0000"/>
      <name val="Calibri"/>
      <family val="2"/>
      <scheme val="minor"/>
    </font>
    <font>
      <sz val="9"/>
      <color rgb="FFFF0000"/>
      <name val="Arial"/>
      <family val="2"/>
    </font>
  </fonts>
  <fills count="19">
    <fill>
      <patternFill patternType="none"/>
    </fill>
    <fill>
      <patternFill patternType="gray125"/>
    </fill>
    <fill>
      <patternFill patternType="none"/>
    </fill>
    <fill>
      <patternFill patternType="solid">
        <fgColor rgb="FFCCCCCC"/>
      </patternFill>
    </fill>
    <fill>
      <patternFill patternType="solid">
        <fgColor rgb="FFCCCCCC"/>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FDFDF"/>
      </patternFill>
    </fill>
  </fills>
  <borders count="6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bottom style="thin">
        <color rgb="FF000000"/>
      </bottom>
      <diagonal/>
    </border>
    <border>
      <left/>
      <right style="medium">
        <color auto="1"/>
      </right>
      <top/>
      <bottom style="thin">
        <color rgb="FF000000"/>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indexed="64"/>
      </right>
      <top style="thin">
        <color indexed="64"/>
      </top>
      <bottom style="thin">
        <color indexed="64"/>
      </bottom>
      <diagonal/>
    </border>
    <border>
      <left style="thin">
        <color rgb="FF000000"/>
      </left>
      <right style="medium">
        <color auto="1"/>
      </right>
      <top/>
      <bottom style="thin">
        <color rgb="FF000000"/>
      </bottom>
      <diagonal/>
    </border>
    <border>
      <left/>
      <right style="medium">
        <color auto="1"/>
      </right>
      <top/>
      <bottom style="thin">
        <color indexed="64"/>
      </bottom>
      <diagonal/>
    </border>
  </borders>
  <cellStyleXfs count="7">
    <xf numFmtId="0" fontId="0" fillId="0" borderId="0"/>
    <xf numFmtId="9" fontId="7" fillId="0" borderId="0" applyFont="0" applyFill="0" applyBorder="0" applyAlignment="0" applyProtection="0"/>
    <xf numFmtId="0" fontId="14" fillId="13" borderId="1"/>
    <xf numFmtId="9" fontId="14" fillId="13" borderId="1" applyFont="0" applyFill="0" applyBorder="0" applyAlignment="0" applyProtection="0"/>
    <xf numFmtId="0" fontId="26" fillId="13" borderId="1" applyNumberFormat="0" applyFill="0" applyBorder="0" applyAlignment="0" applyProtection="0"/>
    <xf numFmtId="0" fontId="14" fillId="13" borderId="1"/>
    <xf numFmtId="0" fontId="1" fillId="13" borderId="1"/>
  </cellStyleXfs>
  <cellXfs count="267">
    <xf numFmtId="0" fontId="0" fillId="0" borderId="0" xfId="0"/>
    <xf numFmtId="4" fontId="2" fillId="7" borderId="2" xfId="0" applyNumberFormat="1" applyFont="1" applyFill="1" applyBorder="1" applyAlignment="1" applyProtection="1">
      <alignment horizontal="right" vertical="center" wrapText="1"/>
    </xf>
    <xf numFmtId="0" fontId="4" fillId="8" borderId="2" xfId="0" applyNumberFormat="1" applyFont="1" applyFill="1" applyBorder="1" applyAlignment="1" applyProtection="1">
      <alignment horizontal="left" vertical="center" wrapText="1"/>
    </xf>
    <xf numFmtId="0" fontId="4" fillId="9" borderId="2" xfId="0" applyNumberFormat="1" applyFont="1" applyFill="1" applyBorder="1" applyAlignment="1" applyProtection="1">
      <alignment horizontal="center" vertical="center" wrapText="1"/>
    </xf>
    <xf numFmtId="4" fontId="4" fillId="10" borderId="2" xfId="0" applyNumberFormat="1" applyFont="1" applyFill="1" applyBorder="1" applyAlignment="1" applyProtection="1">
      <alignment horizontal="right" vertical="center" wrapText="1"/>
    </xf>
    <xf numFmtId="4" fontId="2" fillId="15" borderId="2" xfId="0" applyNumberFormat="1" applyFont="1" applyFill="1" applyBorder="1" applyAlignment="1" applyProtection="1">
      <alignment horizontal="right" vertical="center" wrapText="1"/>
    </xf>
    <xf numFmtId="4" fontId="2" fillId="16" borderId="2" xfId="0" applyNumberFormat="1" applyFont="1" applyFill="1" applyBorder="1" applyAlignment="1" applyProtection="1">
      <alignment horizontal="right" vertical="center" wrapText="1"/>
    </xf>
    <xf numFmtId="0" fontId="2" fillId="5" borderId="2" xfId="0" applyNumberFormat="1" applyFont="1" applyFill="1" applyBorder="1" applyAlignment="1" applyProtection="1">
      <alignment horizontal="left" vertical="center" wrapText="1"/>
    </xf>
    <xf numFmtId="0" fontId="2" fillId="16" borderId="2" xfId="0" applyNumberFormat="1" applyFont="1" applyFill="1" applyBorder="1" applyAlignment="1" applyProtection="1">
      <alignment horizontal="left" vertical="center" wrapText="1"/>
    </xf>
    <xf numFmtId="0" fontId="2" fillId="15" borderId="2" xfId="0" applyNumberFormat="1" applyFont="1" applyFill="1" applyBorder="1" applyAlignment="1" applyProtection="1">
      <alignment horizontal="left" vertical="center" wrapText="1"/>
    </xf>
    <xf numFmtId="0" fontId="11" fillId="13" borderId="8" xfId="0" applyFont="1" applyFill="1" applyBorder="1" applyAlignment="1">
      <alignment horizontal="center" vertical="center"/>
    </xf>
    <xf numFmtId="4" fontId="11" fillId="13" borderId="8" xfId="0" applyNumberFormat="1" applyFont="1" applyFill="1" applyBorder="1" applyAlignment="1">
      <alignment horizontal="center" vertical="center"/>
    </xf>
    <xf numFmtId="0" fontId="11" fillId="13" borderId="8" xfId="0" applyFont="1" applyFill="1" applyBorder="1" applyAlignment="1">
      <alignment horizontal="center" vertical="center" wrapText="1"/>
    </xf>
    <xf numFmtId="10" fontId="13" fillId="17" borderId="8" xfId="0" applyNumberFormat="1" applyFont="1" applyFill="1" applyBorder="1" applyAlignment="1">
      <alignment horizontal="center" vertical="center"/>
    </xf>
    <xf numFmtId="0" fontId="0" fillId="0" borderId="10" xfId="0" applyBorder="1"/>
    <xf numFmtId="0" fontId="0" fillId="0" borderId="7" xfId="0" applyBorder="1"/>
    <xf numFmtId="0" fontId="0" fillId="0" borderId="11" xfId="0" applyBorder="1"/>
    <xf numFmtId="0" fontId="0" fillId="0" borderId="12" xfId="0" applyBorder="1"/>
    <xf numFmtId="0" fontId="0" fillId="0" borderId="1" xfId="0" applyBorder="1"/>
    <xf numFmtId="0" fontId="0" fillId="0" borderId="13" xfId="0" applyBorder="1"/>
    <xf numFmtId="0" fontId="15" fillId="13" borderId="1" xfId="2" applyFont="1" applyProtection="1">
      <protection locked="0"/>
    </xf>
    <xf numFmtId="0" fontId="16" fillId="13" borderId="1" xfId="2" applyFont="1" applyProtection="1">
      <protection locked="0"/>
    </xf>
    <xf numFmtId="0" fontId="15" fillId="13" borderId="1" xfId="2" applyFont="1" applyAlignment="1" applyProtection="1">
      <alignment vertical="center"/>
      <protection locked="0"/>
    </xf>
    <xf numFmtId="0" fontId="15" fillId="13" borderId="1" xfId="2" applyFont="1" applyAlignment="1" applyProtection="1">
      <alignment horizontal="center" vertical="center"/>
      <protection locked="0"/>
    </xf>
    <xf numFmtId="0" fontId="16" fillId="13" borderId="1" xfId="2" applyFont="1" applyAlignment="1" applyProtection="1">
      <alignment vertical="center"/>
      <protection locked="0"/>
    </xf>
    <xf numFmtId="0" fontId="9" fillId="13" borderId="1" xfId="2" applyFont="1" applyAlignment="1" applyProtection="1">
      <alignment vertical="center" wrapText="1"/>
      <protection locked="0"/>
    </xf>
    <xf numFmtId="0" fontId="18" fillId="13" borderId="1" xfId="2" applyFont="1" applyAlignment="1" applyProtection="1">
      <alignment vertical="center" wrapText="1"/>
      <protection locked="0"/>
    </xf>
    <xf numFmtId="0" fontId="18" fillId="13" borderId="1" xfId="2" applyFont="1" applyAlignment="1" applyProtection="1">
      <alignment horizontal="center" vertical="center" wrapText="1"/>
      <protection locked="0"/>
    </xf>
    <xf numFmtId="0" fontId="20" fillId="13" borderId="1" xfId="2" applyFont="1" applyAlignment="1" applyProtection="1">
      <alignment horizontal="center" vertical="center" wrapText="1"/>
      <protection locked="0"/>
    </xf>
    <xf numFmtId="0" fontId="20" fillId="13" borderId="1" xfId="2" applyFont="1" applyAlignment="1" applyProtection="1">
      <alignment horizontal="left" vertical="center" wrapText="1"/>
      <protection locked="0"/>
    </xf>
    <xf numFmtId="4" fontId="21" fillId="13" borderId="17" xfId="2" applyNumberFormat="1" applyFont="1" applyBorder="1" applyAlignment="1" applyProtection="1">
      <alignment horizontal="center" vertical="center" wrapText="1"/>
      <protection locked="0"/>
    </xf>
    <xf numFmtId="0" fontId="20" fillId="13" borderId="21" xfId="2" applyFont="1" applyBorder="1" applyAlignment="1" applyProtection="1">
      <alignment horizontal="center" vertical="center" wrapText="1"/>
      <protection locked="0"/>
    </xf>
    <xf numFmtId="10" fontId="23" fillId="13" borderId="8" xfId="3" applyNumberFormat="1" applyFont="1" applyBorder="1" applyAlignment="1" applyProtection="1">
      <alignment horizontal="center" vertical="center"/>
    </xf>
    <xf numFmtId="0" fontId="22" fillId="13" borderId="4" xfId="2" applyFont="1" applyBorder="1" applyAlignment="1" applyProtection="1">
      <alignment horizontal="center" vertical="center"/>
      <protection locked="0"/>
    </xf>
    <xf numFmtId="0" fontId="23" fillId="13" borderId="8" xfId="2" applyFont="1" applyBorder="1" applyAlignment="1">
      <alignment horizontal="center" vertical="center" wrapText="1"/>
    </xf>
    <xf numFmtId="0" fontId="23" fillId="13" borderId="4" xfId="2" applyFont="1" applyBorder="1" applyAlignment="1" applyProtection="1">
      <alignment horizontal="center" vertical="center" wrapText="1"/>
      <protection locked="0"/>
    </xf>
    <xf numFmtId="0" fontId="22" fillId="13" borderId="4" xfId="2" applyFont="1" applyBorder="1" applyAlignment="1" applyProtection="1">
      <alignment horizontal="center" vertical="center" wrapText="1"/>
      <protection locked="0"/>
    </xf>
    <xf numFmtId="0" fontId="25" fillId="13" borderId="8" xfId="2" applyFont="1" applyBorder="1" applyAlignment="1" applyProtection="1">
      <alignment horizontal="center" vertical="center"/>
      <protection locked="0"/>
    </xf>
    <xf numFmtId="0" fontId="20" fillId="13" borderId="19" xfId="2" applyFont="1" applyBorder="1" applyAlignment="1" applyProtection="1">
      <alignment horizontal="center" vertical="center"/>
      <protection locked="0"/>
    </xf>
    <xf numFmtId="10" fontId="15" fillId="13" borderId="1" xfId="2" applyNumberFormat="1" applyFont="1"/>
    <xf numFmtId="0" fontId="15" fillId="13" borderId="8" xfId="2" applyFont="1" applyBorder="1" applyAlignment="1" applyProtection="1">
      <alignment horizontal="center" vertical="center"/>
      <protection locked="0"/>
    </xf>
    <xf numFmtId="0" fontId="20" fillId="13" borderId="8" xfId="2" applyFont="1" applyBorder="1" applyAlignment="1" applyProtection="1">
      <alignment vertical="center"/>
      <protection locked="0"/>
    </xf>
    <xf numFmtId="0" fontId="20" fillId="13" borderId="8" xfId="2" applyFont="1" applyBorder="1" applyAlignment="1" applyProtection="1">
      <alignment horizontal="left" vertical="center"/>
      <protection locked="0"/>
    </xf>
    <xf numFmtId="14" fontId="20" fillId="13" borderId="8" xfId="2" applyNumberFormat="1" applyFont="1" applyBorder="1" applyAlignment="1" applyProtection="1">
      <alignment vertical="center"/>
      <protection locked="0"/>
    </xf>
    <xf numFmtId="0" fontId="20" fillId="13" borderId="16" xfId="2" applyFont="1" applyBorder="1" applyAlignment="1" applyProtection="1">
      <alignment horizontal="center" vertical="center"/>
      <protection locked="0"/>
    </xf>
    <xf numFmtId="4" fontId="0" fillId="0" borderId="0" xfId="0" applyNumberFormat="1"/>
    <xf numFmtId="0" fontId="5" fillId="8" borderId="2" xfId="0" applyNumberFormat="1" applyFont="1" applyFill="1" applyBorder="1" applyAlignment="1" applyProtection="1">
      <alignment horizontal="left" vertical="center" wrapText="1"/>
    </xf>
    <xf numFmtId="0" fontId="5" fillId="9" borderId="2" xfId="0" applyNumberFormat="1" applyFont="1" applyFill="1" applyBorder="1" applyAlignment="1" applyProtection="1">
      <alignment horizontal="center" vertical="center" wrapText="1"/>
    </xf>
    <xf numFmtId="0" fontId="4" fillId="13" borderId="2" xfId="0" applyNumberFormat="1" applyFont="1" applyFill="1" applyBorder="1" applyAlignment="1" applyProtection="1">
      <alignment horizontal="center" vertical="center" wrapText="1"/>
    </xf>
    <xf numFmtId="0" fontId="3" fillId="5" borderId="2" xfId="0" applyNumberFormat="1" applyFont="1" applyFill="1" applyBorder="1" applyAlignment="1" applyProtection="1">
      <alignment horizontal="left" vertical="center" wrapText="1"/>
    </xf>
    <xf numFmtId="0" fontId="0" fillId="0" borderId="1" xfId="0" applyBorder="1" applyAlignment="1">
      <alignment horizontal="center"/>
    </xf>
    <xf numFmtId="0" fontId="1" fillId="13" borderId="1" xfId="6"/>
    <xf numFmtId="4" fontId="32" fillId="18" borderId="2" xfId="6" applyNumberFormat="1" applyFont="1" applyFill="1" applyBorder="1" applyAlignment="1">
      <alignment horizontal="right" vertical="center" wrapText="1"/>
    </xf>
    <xf numFmtId="0" fontId="9" fillId="18" borderId="32" xfId="6" applyFont="1" applyFill="1" applyBorder="1" applyAlignment="1" applyProtection="1">
      <alignment wrapText="1"/>
      <protection locked="0"/>
    </xf>
    <xf numFmtId="0" fontId="31" fillId="18" borderId="42" xfId="6" applyFont="1" applyFill="1" applyBorder="1" applyAlignment="1">
      <alignment horizontal="center" vertical="center" wrapText="1"/>
    </xf>
    <xf numFmtId="0" fontId="33" fillId="18" borderId="42" xfId="6" applyFont="1" applyFill="1" applyBorder="1" applyAlignment="1">
      <alignment horizontal="center" vertical="center" wrapText="1"/>
    </xf>
    <xf numFmtId="0" fontId="9" fillId="18" borderId="1" xfId="6" applyFont="1" applyFill="1" applyBorder="1" applyAlignment="1" applyProtection="1">
      <alignment wrapText="1"/>
      <protection locked="0"/>
    </xf>
    <xf numFmtId="164" fontId="32" fillId="13" borderId="43" xfId="6" applyNumberFormat="1" applyFont="1" applyBorder="1" applyAlignment="1">
      <alignment horizontal="right" vertical="center" wrapText="1"/>
    </xf>
    <xf numFmtId="164" fontId="32" fillId="13" borderId="8" xfId="6" applyNumberFormat="1" applyFont="1" applyBorder="1" applyAlignment="1">
      <alignment horizontal="right" vertical="center" wrapText="1"/>
    </xf>
    <xf numFmtId="0" fontId="9" fillId="13" borderId="8" xfId="6" applyFont="1" applyBorder="1" applyAlignment="1" applyProtection="1">
      <alignment wrapText="1"/>
      <protection locked="0"/>
    </xf>
    <xf numFmtId="4" fontId="32" fillId="18" borderId="8" xfId="6" applyNumberFormat="1" applyFont="1" applyFill="1" applyBorder="1" applyAlignment="1">
      <alignment horizontal="right" vertical="center" wrapText="1"/>
    </xf>
    <xf numFmtId="0" fontId="2" fillId="3" borderId="2" xfId="0" applyNumberFormat="1" applyFont="1" applyFill="1" applyBorder="1" applyAlignment="1" applyProtection="1">
      <alignment horizontal="center" vertical="center" wrapText="1"/>
    </xf>
    <xf numFmtId="0" fontId="6" fillId="11" borderId="1" xfId="0" applyNumberFormat="1" applyFont="1" applyFill="1" applyBorder="1" applyAlignment="1" applyProtection="1">
      <alignment wrapText="1"/>
      <protection locked="0"/>
    </xf>
    <xf numFmtId="4" fontId="4" fillId="13" borderId="1" xfId="0" applyNumberFormat="1" applyFont="1" applyFill="1" applyBorder="1" applyAlignment="1" applyProtection="1">
      <alignment horizontal="right" vertical="center" wrapText="1"/>
    </xf>
    <xf numFmtId="0" fontId="35" fillId="16" borderId="1" xfId="0" applyFont="1" applyFill="1" applyBorder="1"/>
    <xf numFmtId="0" fontId="0" fillId="0" borderId="48" xfId="0" applyBorder="1"/>
    <xf numFmtId="0" fontId="0" fillId="0" borderId="49" xfId="0" applyBorder="1"/>
    <xf numFmtId="0" fontId="11" fillId="13" borderId="50" xfId="0" applyFont="1" applyFill="1" applyBorder="1" applyAlignment="1">
      <alignment horizontal="center" vertical="center"/>
    </xf>
    <xf numFmtId="10" fontId="13" fillId="17" borderId="50" xfId="1" applyNumberFormat="1" applyFont="1" applyFill="1" applyBorder="1" applyAlignment="1">
      <alignment horizontal="center" vertical="center"/>
    </xf>
    <xf numFmtId="0" fontId="2" fillId="3" borderId="53" xfId="0" applyNumberFormat="1" applyFont="1" applyFill="1" applyBorder="1" applyAlignment="1" applyProtection="1">
      <alignment horizontal="center" vertical="center" wrapText="1"/>
    </xf>
    <xf numFmtId="0" fontId="2" fillId="15" borderId="54" xfId="0" applyNumberFormat="1" applyFont="1" applyFill="1" applyBorder="1" applyAlignment="1" applyProtection="1">
      <alignment horizontal="left" vertical="center" wrapText="1"/>
    </xf>
    <xf numFmtId="4" fontId="2" fillId="15" borderId="53" xfId="0" applyNumberFormat="1" applyFont="1" applyFill="1" applyBorder="1" applyAlignment="1" applyProtection="1">
      <alignment horizontal="right" vertical="center" wrapText="1"/>
    </xf>
    <xf numFmtId="0" fontId="2" fillId="16" borderId="54" xfId="0" applyNumberFormat="1" applyFont="1" applyFill="1" applyBorder="1" applyAlignment="1" applyProtection="1">
      <alignment horizontal="left" vertical="center" wrapText="1"/>
    </xf>
    <xf numFmtId="4" fontId="2" fillId="16" borderId="53" xfId="0" applyNumberFormat="1" applyFont="1" applyFill="1" applyBorder="1" applyAlignment="1" applyProtection="1">
      <alignment horizontal="right" vertical="center" wrapText="1"/>
    </xf>
    <xf numFmtId="0" fontId="4" fillId="8" borderId="54" xfId="0" applyNumberFormat="1" applyFont="1" applyFill="1" applyBorder="1" applyAlignment="1" applyProtection="1">
      <alignment horizontal="left" vertical="center" wrapText="1"/>
    </xf>
    <xf numFmtId="4" fontId="4" fillId="10" borderId="53" xfId="0" applyNumberFormat="1" applyFont="1" applyFill="1" applyBorder="1" applyAlignment="1" applyProtection="1">
      <alignment horizontal="right" vertical="center" wrapText="1"/>
    </xf>
    <xf numFmtId="4" fontId="36" fillId="0" borderId="53" xfId="0" applyNumberFormat="1" applyFont="1" applyFill="1" applyBorder="1" applyAlignment="1" applyProtection="1">
      <alignment horizontal="right" vertical="center" wrapText="1"/>
    </xf>
    <xf numFmtId="0" fontId="2" fillId="5" borderId="54" xfId="0" applyNumberFormat="1" applyFont="1" applyFill="1" applyBorder="1" applyAlignment="1" applyProtection="1">
      <alignment horizontal="left" vertical="center" wrapText="1"/>
    </xf>
    <xf numFmtId="4" fontId="2" fillId="7" borderId="53" xfId="0" applyNumberFormat="1" applyFont="1" applyFill="1" applyBorder="1" applyAlignment="1" applyProtection="1">
      <alignment horizontal="right" vertical="center" wrapText="1"/>
    </xf>
    <xf numFmtId="4" fontId="36" fillId="10" borderId="53" xfId="0" applyNumberFormat="1" applyFont="1" applyFill="1" applyBorder="1" applyAlignment="1" applyProtection="1">
      <alignment horizontal="right" vertical="center" wrapText="1"/>
    </xf>
    <xf numFmtId="0" fontId="5" fillId="8" borderId="54" xfId="0" applyNumberFormat="1" applyFont="1" applyFill="1" applyBorder="1" applyAlignment="1" applyProtection="1">
      <alignment horizontal="left" vertical="center" wrapText="1"/>
    </xf>
    <xf numFmtId="0" fontId="3" fillId="5" borderId="54" xfId="0" applyNumberFormat="1" applyFont="1" applyFill="1" applyBorder="1" applyAlignment="1" applyProtection="1">
      <alignment horizontal="left" vertical="center" wrapText="1"/>
    </xf>
    <xf numFmtId="0" fontId="6" fillId="11" borderId="49" xfId="0" applyNumberFormat="1" applyFont="1" applyFill="1" applyBorder="1" applyAlignment="1" applyProtection="1">
      <alignment wrapText="1"/>
      <protection locked="0"/>
    </xf>
    <xf numFmtId="4" fontId="2" fillId="14" borderId="53" xfId="0" applyNumberFormat="1" applyFont="1" applyFill="1" applyBorder="1" applyAlignment="1" applyProtection="1">
      <alignment horizontal="right" vertical="center" wrapText="1"/>
    </xf>
    <xf numFmtId="0" fontId="0" fillId="0" borderId="55" xfId="0" applyBorder="1"/>
    <xf numFmtId="0" fontId="0" fillId="0" borderId="56" xfId="0" applyBorder="1"/>
    <xf numFmtId="0" fontId="0" fillId="0" borderId="21" xfId="0" applyBorder="1"/>
    <xf numFmtId="0" fontId="0" fillId="0" borderId="57" xfId="0" applyBorder="1"/>
    <xf numFmtId="0" fontId="31" fillId="18" borderId="60" xfId="6" applyFont="1" applyFill="1" applyBorder="1" applyAlignment="1">
      <alignment horizontal="center" vertical="center" wrapText="1"/>
    </xf>
    <xf numFmtId="0" fontId="31" fillId="18" borderId="61" xfId="6" applyFont="1" applyFill="1" applyBorder="1" applyAlignment="1">
      <alignment horizontal="center" vertical="center" wrapText="1"/>
    </xf>
    <xf numFmtId="165" fontId="32" fillId="13" borderId="50" xfId="6" applyNumberFormat="1" applyFont="1" applyBorder="1" applyAlignment="1">
      <alignment horizontal="right" vertical="center" wrapText="1"/>
    </xf>
    <xf numFmtId="4" fontId="32" fillId="15" borderId="50" xfId="6" applyNumberFormat="1" applyFont="1" applyFill="1" applyBorder="1" applyAlignment="1">
      <alignment horizontal="right" vertical="center" wrapText="1"/>
    </xf>
    <xf numFmtId="0" fontId="9" fillId="18" borderId="49" xfId="6" applyFont="1" applyFill="1" applyBorder="1" applyAlignment="1" applyProtection="1">
      <alignment wrapText="1"/>
      <protection locked="0"/>
    </xf>
    <xf numFmtId="0" fontId="9" fillId="18" borderId="58" xfId="6" applyFont="1" applyFill="1" applyBorder="1" applyAlignment="1" applyProtection="1">
      <alignment wrapText="1"/>
      <protection locked="0"/>
    </xf>
    <xf numFmtId="0" fontId="1" fillId="13" borderId="49" xfId="6" applyBorder="1"/>
    <xf numFmtId="0" fontId="1" fillId="13" borderId="1" xfId="6" applyBorder="1"/>
    <xf numFmtId="0" fontId="1" fillId="13" borderId="55" xfId="6" applyBorder="1"/>
    <xf numFmtId="0" fontId="1" fillId="13" borderId="56" xfId="6" applyBorder="1"/>
    <xf numFmtId="0" fontId="1" fillId="13" borderId="21" xfId="6" applyBorder="1"/>
    <xf numFmtId="0" fontId="1" fillId="13" borderId="57" xfId="6" applyBorder="1"/>
    <xf numFmtId="0" fontId="0" fillId="0" borderId="1" xfId="0" applyBorder="1" applyAlignment="1">
      <alignment horizontal="center"/>
    </xf>
    <xf numFmtId="0" fontId="2" fillId="16" borderId="2" xfId="0" applyNumberFormat="1" applyFont="1" applyFill="1" applyBorder="1" applyAlignment="1" applyProtection="1">
      <alignment horizontal="left" vertical="center" wrapText="1"/>
    </xf>
    <xf numFmtId="0" fontId="2" fillId="16" borderId="2" xfId="0" applyNumberFormat="1" applyFont="1" applyFill="1" applyBorder="1" applyAlignment="1" applyProtection="1">
      <alignment horizontal="left" vertical="center" wrapText="1"/>
      <protection locked="0"/>
    </xf>
    <xf numFmtId="0" fontId="2" fillId="12" borderId="2" xfId="0" applyNumberFormat="1" applyFont="1" applyFill="1" applyBorder="1" applyAlignment="1" applyProtection="1">
      <alignment horizontal="right" vertical="center" wrapText="1"/>
    </xf>
    <xf numFmtId="0" fontId="2" fillId="13" borderId="2" xfId="0" applyNumberFormat="1" applyFont="1" applyFill="1" applyBorder="1" applyAlignment="1" applyProtection="1">
      <alignment horizontal="right" vertical="center" wrapText="1"/>
      <protection locked="0"/>
    </xf>
    <xf numFmtId="0" fontId="0" fillId="0" borderId="3" xfId="0" applyBorder="1" applyAlignment="1">
      <alignment horizontal="center"/>
    </xf>
    <xf numFmtId="0" fontId="2" fillId="5" borderId="2" xfId="0" applyNumberFormat="1" applyFont="1" applyFill="1" applyBorder="1" applyAlignment="1" applyProtection="1">
      <alignment horizontal="left" vertical="center" wrapText="1"/>
    </xf>
    <xf numFmtId="0" fontId="2" fillId="6" borderId="2" xfId="0" applyNumberFormat="1" applyFont="1" applyFill="1" applyBorder="1" applyAlignment="1" applyProtection="1">
      <alignment horizontal="left" vertical="center" wrapText="1"/>
      <protection locked="0"/>
    </xf>
    <xf numFmtId="0" fontId="2" fillId="3" borderId="9" xfId="0" applyNumberFormat="1" applyFont="1" applyFill="1" applyBorder="1" applyAlignment="1" applyProtection="1">
      <alignment horizontal="center" vertical="center" wrapText="1"/>
    </xf>
    <xf numFmtId="0" fontId="2" fillId="4" borderId="2"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center" vertical="center" wrapText="1"/>
    </xf>
    <xf numFmtId="0" fontId="2" fillId="4" borderId="53" xfId="0" applyNumberFormat="1" applyFont="1" applyFill="1" applyBorder="1" applyAlignment="1" applyProtection="1">
      <alignment horizontal="center" vertical="center" wrapText="1"/>
      <protection locked="0"/>
    </xf>
    <xf numFmtId="0" fontId="3" fillId="15" borderId="2" xfId="0" applyNumberFormat="1" applyFont="1" applyFill="1" applyBorder="1" applyAlignment="1" applyProtection="1">
      <alignment horizontal="left" vertical="center" wrapText="1"/>
    </xf>
    <xf numFmtId="0" fontId="2" fillId="15" borderId="2" xfId="0" applyNumberFormat="1" applyFont="1" applyFill="1" applyBorder="1" applyAlignment="1" applyProtection="1">
      <alignment horizontal="left" vertical="center" wrapText="1"/>
      <protection locked="0"/>
    </xf>
    <xf numFmtId="0" fontId="2" fillId="3" borderId="52" xfId="0" applyNumberFormat="1" applyFont="1" applyFill="1" applyBorder="1" applyAlignment="1" applyProtection="1">
      <alignment horizontal="center" vertical="center" wrapText="1"/>
    </xf>
    <xf numFmtId="0" fontId="2" fillId="4" borderId="54" xfId="0" applyNumberFormat="1" applyFont="1" applyFill="1" applyBorder="1" applyAlignment="1" applyProtection="1">
      <alignment horizontal="center" vertical="center" wrapText="1"/>
      <protection locked="0"/>
    </xf>
    <xf numFmtId="0" fontId="8" fillId="0" borderId="4" xfId="0" applyFont="1" applyBorder="1" applyAlignment="1">
      <alignment horizontal="center"/>
    </xf>
    <xf numFmtId="0" fontId="8" fillId="0" borderId="5" xfId="0" applyFont="1" applyBorder="1" applyAlignment="1">
      <alignment horizontal="center"/>
    </xf>
    <xf numFmtId="0" fontId="8" fillId="0" borderId="47" xfId="0" applyFont="1" applyBorder="1" applyAlignment="1">
      <alignment horizontal="center"/>
    </xf>
    <xf numFmtId="0" fontId="0" fillId="2" borderId="51" xfId="0" applyNumberFormat="1" applyFont="1" applyFill="1" applyBorder="1" applyAlignment="1" applyProtection="1">
      <alignment horizontal="left" vertical="top" wrapText="1"/>
      <protection locked="0"/>
    </xf>
    <xf numFmtId="0" fontId="0" fillId="2" borderId="3" xfId="0" applyNumberFormat="1" applyFont="1" applyFill="1" applyBorder="1" applyAlignment="1" applyProtection="1">
      <alignment horizontal="left" vertical="top" wrapText="1"/>
      <protection locked="0"/>
    </xf>
    <xf numFmtId="0" fontId="0" fillId="2" borderId="15" xfId="0" applyNumberFormat="1" applyFont="1" applyFill="1" applyBorder="1" applyAlignment="1" applyProtection="1">
      <alignment horizontal="left" vertical="top" wrapText="1"/>
      <protection locked="0"/>
    </xf>
    <xf numFmtId="0" fontId="0" fillId="0" borderId="44" xfId="0" applyBorder="1" applyAlignment="1">
      <alignment horizontal="center"/>
    </xf>
    <xf numFmtId="0" fontId="0" fillId="0" borderId="25" xfId="0" applyBorder="1" applyAlignment="1">
      <alignment horizontal="center"/>
    </xf>
    <xf numFmtId="0" fontId="0" fillId="0" borderId="45" xfId="0" applyBorder="1" applyAlignment="1">
      <alignment horizontal="center"/>
    </xf>
    <xf numFmtId="0" fontId="0" fillId="0" borderId="49" xfId="0" applyBorder="1" applyAlignment="1">
      <alignment horizontal="left" wrapText="1"/>
    </xf>
    <xf numFmtId="0" fontId="0" fillId="0" borderId="1" xfId="0" applyBorder="1" applyAlignment="1">
      <alignment horizontal="left" wrapText="1"/>
    </xf>
    <xf numFmtId="0" fontId="0" fillId="0" borderId="13" xfId="0" applyBorder="1" applyAlignment="1">
      <alignment horizontal="left" wrapText="1"/>
    </xf>
    <xf numFmtId="0" fontId="10" fillId="0" borderId="46" xfId="0" applyFont="1" applyBorder="1" applyAlignment="1">
      <alignment horizontal="center"/>
    </xf>
    <xf numFmtId="0" fontId="10" fillId="0" borderId="5" xfId="0" applyFont="1" applyBorder="1" applyAlignment="1">
      <alignment horizontal="center"/>
    </xf>
    <xf numFmtId="0" fontId="10" fillId="0" borderId="47" xfId="0" applyFont="1" applyBorder="1" applyAlignment="1">
      <alignment horizontal="center"/>
    </xf>
    <xf numFmtId="0" fontId="11" fillId="13" borderId="4" xfId="0" applyFont="1" applyFill="1" applyBorder="1" applyAlignment="1">
      <alignment horizontal="center" vertical="center"/>
    </xf>
    <xf numFmtId="0" fontId="11" fillId="13" borderId="5" xfId="0" applyFont="1" applyFill="1" applyBorder="1" applyAlignment="1">
      <alignment horizontal="center" vertical="center"/>
    </xf>
    <xf numFmtId="2" fontId="13" fillId="13" borderId="5" xfId="0" applyNumberFormat="1" applyFont="1" applyFill="1" applyBorder="1" applyAlignment="1">
      <alignment horizontal="center" vertical="center"/>
    </xf>
    <xf numFmtId="2" fontId="13" fillId="13" borderId="47" xfId="0" applyNumberFormat="1" applyFont="1" applyFill="1" applyBorder="1" applyAlignment="1">
      <alignment horizontal="center" vertical="center"/>
    </xf>
    <xf numFmtId="14" fontId="11" fillId="13" borderId="5" xfId="0" applyNumberFormat="1" applyFont="1" applyFill="1" applyBorder="1" applyAlignment="1">
      <alignment horizontal="center" vertical="center"/>
    </xf>
    <xf numFmtId="14" fontId="11" fillId="13" borderId="47" xfId="0" applyNumberFormat="1" applyFont="1" applyFill="1" applyBorder="1" applyAlignment="1">
      <alignment horizontal="center" vertical="center"/>
    </xf>
    <xf numFmtId="0" fontId="16" fillId="13" borderId="3" xfId="2" applyFont="1" applyBorder="1" applyAlignment="1" applyProtection="1">
      <alignment horizontal="center" vertical="center"/>
      <protection locked="0"/>
    </xf>
    <xf numFmtId="0" fontId="17" fillId="13" borderId="7" xfId="2" applyFont="1" applyBorder="1" applyAlignment="1" applyProtection="1">
      <alignment horizontal="center" vertical="center"/>
      <protection locked="0"/>
    </xf>
    <xf numFmtId="0" fontId="17" fillId="13" borderId="1" xfId="2" applyFont="1" applyAlignment="1" applyProtection="1">
      <alignment horizontal="center" vertical="center"/>
      <protection locked="0"/>
    </xf>
    <xf numFmtId="0" fontId="16" fillId="13" borderId="1" xfId="2" applyFont="1" applyAlignment="1" applyProtection="1">
      <alignment horizontal="center" vertical="center"/>
      <protection locked="0"/>
    </xf>
    <xf numFmtId="0" fontId="20" fillId="13" borderId="16" xfId="2" applyFont="1" applyBorder="1" applyAlignment="1" applyProtection="1">
      <alignment horizontal="left" vertical="center" wrapText="1"/>
      <protection locked="0"/>
    </xf>
    <xf numFmtId="0" fontId="18" fillId="13" borderId="1" xfId="2" applyFont="1" applyAlignment="1" applyProtection="1">
      <alignment horizontal="left" vertical="center" wrapText="1"/>
      <protection locked="0"/>
    </xf>
    <xf numFmtId="0" fontId="23" fillId="13" borderId="10" xfId="2" applyFont="1" applyBorder="1" applyAlignment="1" applyProtection="1">
      <alignment horizontal="center" vertical="center" wrapText="1"/>
      <protection locked="0"/>
    </xf>
    <xf numFmtId="0" fontId="23" fillId="13" borderId="11" xfId="2" applyFont="1" applyBorder="1" applyAlignment="1" applyProtection="1">
      <alignment horizontal="center" vertical="center" wrapText="1"/>
      <protection locked="0"/>
    </xf>
    <xf numFmtId="0" fontId="23" fillId="13" borderId="12" xfId="2" applyFont="1" applyBorder="1" applyAlignment="1" applyProtection="1">
      <alignment horizontal="center" vertical="center" wrapText="1"/>
      <protection locked="0"/>
    </xf>
    <xf numFmtId="0" fontId="23" fillId="13" borderId="13" xfId="2" applyFont="1" applyBorder="1" applyAlignment="1" applyProtection="1">
      <alignment horizontal="center" vertical="center" wrapText="1"/>
      <protection locked="0"/>
    </xf>
    <xf numFmtId="0" fontId="23" fillId="13" borderId="14" xfId="2" applyFont="1" applyBorder="1" applyAlignment="1" applyProtection="1">
      <alignment horizontal="center" vertical="center" wrapText="1"/>
      <protection locked="0"/>
    </xf>
    <xf numFmtId="0" fontId="23" fillId="13" borderId="15" xfId="2" applyFont="1" applyBorder="1" applyAlignment="1" applyProtection="1">
      <alignment horizontal="center" vertical="center" wrapText="1"/>
      <protection locked="0"/>
    </xf>
    <xf numFmtId="10" fontId="24" fillId="13" borderId="8" xfId="3" applyNumberFormat="1" applyFont="1" applyBorder="1" applyAlignment="1" applyProtection="1">
      <alignment horizontal="center" vertical="center"/>
      <protection locked="0"/>
    </xf>
    <xf numFmtId="10" fontId="22" fillId="13" borderId="10" xfId="3" applyNumberFormat="1" applyFont="1" applyBorder="1" applyAlignment="1" applyProtection="1">
      <alignment horizontal="center" vertical="center"/>
    </xf>
    <xf numFmtId="10" fontId="22" fillId="13" borderId="7" xfId="3" applyNumberFormat="1" applyFont="1" applyBorder="1" applyAlignment="1" applyProtection="1">
      <alignment horizontal="center" vertical="center"/>
    </xf>
    <xf numFmtId="10" fontId="22" fillId="13" borderId="11" xfId="3" applyNumberFormat="1" applyFont="1" applyBorder="1" applyAlignment="1" applyProtection="1">
      <alignment horizontal="center" vertical="center"/>
    </xf>
    <xf numFmtId="10" fontId="22" fillId="13" borderId="12" xfId="3" applyNumberFormat="1" applyFont="1" applyBorder="1" applyAlignment="1" applyProtection="1">
      <alignment horizontal="center" vertical="center"/>
    </xf>
    <xf numFmtId="10" fontId="22" fillId="13" borderId="1" xfId="3" applyNumberFormat="1" applyFont="1" applyBorder="1" applyAlignment="1" applyProtection="1">
      <alignment horizontal="center" vertical="center"/>
    </xf>
    <xf numFmtId="10" fontId="22" fillId="13" borderId="13" xfId="3" applyNumberFormat="1" applyFont="1" applyBorder="1" applyAlignment="1" applyProtection="1">
      <alignment horizontal="center" vertical="center"/>
    </xf>
    <xf numFmtId="10" fontId="22" fillId="13" borderId="14" xfId="3" applyNumberFormat="1" applyFont="1" applyBorder="1" applyAlignment="1" applyProtection="1">
      <alignment horizontal="center" vertical="center"/>
    </xf>
    <xf numFmtId="10" fontId="22" fillId="13" borderId="3" xfId="3" applyNumberFormat="1" applyFont="1" applyBorder="1" applyAlignment="1" applyProtection="1">
      <alignment horizontal="center" vertical="center"/>
    </xf>
    <xf numFmtId="10" fontId="22" fillId="13" borderId="15" xfId="3" applyNumberFormat="1" applyFont="1" applyBorder="1" applyAlignment="1" applyProtection="1">
      <alignment horizontal="center" vertical="center"/>
    </xf>
    <xf numFmtId="10" fontId="24" fillId="13" borderId="8" xfId="3" applyNumberFormat="1" applyFont="1" applyBorder="1" applyAlignment="1" applyProtection="1">
      <alignment horizontal="center" vertical="center"/>
    </xf>
    <xf numFmtId="10" fontId="23" fillId="13" borderId="4" xfId="3" applyNumberFormat="1" applyFont="1" applyBorder="1" applyAlignment="1" applyProtection="1">
      <alignment horizontal="center" vertical="center"/>
    </xf>
    <xf numFmtId="10" fontId="23" fillId="13" borderId="6" xfId="3" applyNumberFormat="1" applyFont="1" applyBorder="1" applyAlignment="1" applyProtection="1">
      <alignment horizontal="center" vertical="center"/>
    </xf>
    <xf numFmtId="0" fontId="24" fillId="13" borderId="4" xfId="2" applyFont="1" applyBorder="1" applyAlignment="1">
      <alignment horizontal="center" vertical="center" wrapText="1"/>
    </xf>
    <xf numFmtId="0" fontId="24" fillId="13" borderId="6" xfId="2" applyFont="1" applyBorder="1" applyAlignment="1">
      <alignment horizontal="center" vertical="center" wrapText="1"/>
    </xf>
    <xf numFmtId="10" fontId="22" fillId="13" borderId="4" xfId="2" applyNumberFormat="1" applyFont="1" applyBorder="1" applyAlignment="1">
      <alignment horizontal="center" vertical="center"/>
    </xf>
    <xf numFmtId="0" fontId="22" fillId="13" borderId="6" xfId="2" applyFont="1" applyBorder="1" applyAlignment="1">
      <alignment horizontal="center" vertical="center"/>
    </xf>
    <xf numFmtId="0" fontId="21" fillId="13" borderId="20" xfId="2" applyFont="1" applyBorder="1" applyAlignment="1" applyProtection="1">
      <alignment horizontal="right" vertical="center" wrapText="1"/>
      <protection locked="0"/>
    </xf>
    <xf numFmtId="0" fontId="21" fillId="13" borderId="19" xfId="2" applyFont="1" applyBorder="1" applyAlignment="1" applyProtection="1">
      <alignment horizontal="right" vertical="center" wrapText="1"/>
      <protection locked="0"/>
    </xf>
    <xf numFmtId="0" fontId="21" fillId="13" borderId="18" xfId="2" applyFont="1" applyBorder="1" applyAlignment="1" applyProtection="1">
      <alignment horizontal="right" vertical="center" wrapText="1"/>
      <protection locked="0"/>
    </xf>
    <xf numFmtId="0" fontId="15" fillId="13" borderId="30" xfId="2" applyFont="1" applyBorder="1" applyAlignment="1" applyProtection="1">
      <alignment horizontal="center"/>
      <protection locked="0"/>
    </xf>
    <xf numFmtId="0" fontId="20" fillId="13" borderId="29" xfId="2" applyFont="1" applyBorder="1" applyAlignment="1" applyProtection="1">
      <alignment horizontal="center" vertical="center"/>
      <protection locked="0"/>
    </xf>
    <xf numFmtId="0" fontId="20" fillId="13" borderId="16" xfId="2" applyFont="1" applyBorder="1" applyAlignment="1" applyProtection="1">
      <alignment horizontal="center" vertical="center"/>
      <protection locked="0"/>
    </xf>
    <xf numFmtId="0" fontId="20" fillId="13" borderId="28" xfId="2" applyFont="1" applyBorder="1" applyAlignment="1" applyProtection="1">
      <alignment horizontal="center" vertical="center"/>
      <protection locked="0"/>
    </xf>
    <xf numFmtId="0" fontId="25" fillId="13" borderId="10" xfId="2" applyFont="1" applyBorder="1" applyAlignment="1" applyProtection="1">
      <alignment horizontal="center" vertical="center"/>
      <protection locked="0"/>
    </xf>
    <xf numFmtId="0" fontId="25" fillId="13" borderId="11" xfId="2" applyFont="1" applyBorder="1" applyAlignment="1" applyProtection="1">
      <alignment horizontal="center" vertical="center"/>
      <protection locked="0"/>
    </xf>
    <xf numFmtId="0" fontId="25" fillId="13" borderId="14" xfId="2" applyFont="1" applyBorder="1" applyAlignment="1" applyProtection="1">
      <alignment horizontal="center" vertical="center"/>
      <protection locked="0"/>
    </xf>
    <xf numFmtId="0" fontId="25" fillId="13" borderId="15" xfId="2" applyFont="1" applyBorder="1" applyAlignment="1" applyProtection="1">
      <alignment horizontal="center" vertical="center"/>
      <protection locked="0"/>
    </xf>
    <xf numFmtId="0" fontId="25" fillId="13" borderId="27" xfId="2" applyFont="1" applyBorder="1" applyAlignment="1" applyProtection="1">
      <alignment horizontal="center" vertical="center"/>
      <protection locked="0"/>
    </xf>
    <xf numFmtId="0" fontId="25" fillId="13" borderId="22" xfId="2" applyFont="1" applyBorder="1" applyAlignment="1" applyProtection="1">
      <alignment horizontal="center" vertical="center"/>
      <protection locked="0"/>
    </xf>
    <xf numFmtId="0" fontId="26" fillId="13" borderId="26" xfId="4" applyFill="1" applyBorder="1" applyAlignment="1" applyProtection="1">
      <alignment horizontal="center" vertical="center" wrapText="1"/>
      <protection locked="0"/>
    </xf>
    <xf numFmtId="0" fontId="26" fillId="13" borderId="25" xfId="4" applyFill="1" applyBorder="1" applyAlignment="1" applyProtection="1">
      <alignment horizontal="center" vertical="center" wrapText="1"/>
      <protection locked="0"/>
    </xf>
    <xf numFmtId="0" fontId="26" fillId="13" borderId="24" xfId="4" applyFill="1" applyBorder="1" applyAlignment="1" applyProtection="1">
      <alignment horizontal="center" vertical="center" wrapText="1"/>
      <protection locked="0"/>
    </xf>
    <xf numFmtId="0" fontId="25" fillId="13" borderId="23" xfId="2" applyFont="1" applyBorder="1" applyAlignment="1" applyProtection="1">
      <alignment horizontal="center" vertical="center" wrapText="1"/>
      <protection locked="0"/>
    </xf>
    <xf numFmtId="0" fontId="25" fillId="13" borderId="16" xfId="2" applyFont="1" applyBorder="1" applyAlignment="1" applyProtection="1">
      <alignment horizontal="center" vertical="center" wrapText="1"/>
      <protection locked="0"/>
    </xf>
    <xf numFmtId="0" fontId="25" fillId="13" borderId="12" xfId="2" applyFont="1" applyBorder="1" applyAlignment="1" applyProtection="1">
      <alignment horizontal="center" vertical="center" wrapText="1"/>
      <protection locked="0"/>
    </xf>
    <xf numFmtId="0" fontId="25" fillId="13" borderId="1" xfId="2" applyFont="1" applyAlignment="1" applyProtection="1">
      <alignment horizontal="center" vertical="center" wrapText="1"/>
      <protection locked="0"/>
    </xf>
    <xf numFmtId="0" fontId="20" fillId="13" borderId="8" xfId="2" applyFont="1" applyBorder="1" applyAlignment="1" applyProtection="1">
      <alignment horizontal="left" vertical="center" wrapText="1"/>
      <protection locked="0"/>
    </xf>
    <xf numFmtId="0" fontId="27" fillId="13" borderId="4" xfId="5" applyFont="1" applyBorder="1" applyAlignment="1" applyProtection="1">
      <alignment horizontal="left" vertical="center" wrapText="1"/>
      <protection locked="0"/>
    </xf>
    <xf numFmtId="0" fontId="27" fillId="13" borderId="6" xfId="5" applyFont="1" applyBorder="1" applyAlignment="1" applyProtection="1">
      <alignment horizontal="left" vertical="center" wrapText="1"/>
      <protection locked="0"/>
    </xf>
    <xf numFmtId="4" fontId="18" fillId="13" borderId="4" xfId="3" applyNumberFormat="1" applyFont="1" applyBorder="1" applyAlignment="1" applyProtection="1">
      <alignment horizontal="left" vertical="center" wrapText="1"/>
      <protection locked="0"/>
    </xf>
    <xf numFmtId="4" fontId="18" fillId="13" borderId="5" xfId="3" applyNumberFormat="1" applyFont="1" applyBorder="1" applyAlignment="1" applyProtection="1">
      <alignment horizontal="left" vertical="center" wrapText="1"/>
      <protection locked="0"/>
    </xf>
    <xf numFmtId="4" fontId="18" fillId="13" borderId="6" xfId="3" applyNumberFormat="1" applyFont="1" applyBorder="1" applyAlignment="1" applyProtection="1">
      <alignment horizontal="left" vertical="center" wrapText="1"/>
      <protection locked="0"/>
    </xf>
    <xf numFmtId="0" fontId="27" fillId="13" borderId="8" xfId="5" applyFont="1" applyBorder="1" applyAlignment="1" applyProtection="1">
      <alignment horizontal="left" vertical="center" wrapText="1"/>
      <protection locked="0"/>
    </xf>
    <xf numFmtId="10" fontId="27" fillId="13" borderId="4" xfId="5" applyNumberFormat="1" applyFont="1" applyBorder="1" applyAlignment="1">
      <alignment horizontal="center" vertical="center" wrapText="1"/>
    </xf>
    <xf numFmtId="10" fontId="27" fillId="13" borderId="5" xfId="5" applyNumberFormat="1" applyFont="1" applyBorder="1" applyAlignment="1">
      <alignment horizontal="center" vertical="center" wrapText="1"/>
    </xf>
    <xf numFmtId="10" fontId="27" fillId="13" borderId="6" xfId="5" applyNumberFormat="1" applyFont="1" applyBorder="1" applyAlignment="1">
      <alignment horizontal="center" vertical="center" wrapText="1"/>
    </xf>
    <xf numFmtId="0" fontId="20" fillId="13" borderId="8" xfId="2" applyFont="1" applyBorder="1" applyAlignment="1" applyProtection="1">
      <alignment horizontal="left" vertical="top"/>
      <protection locked="0"/>
    </xf>
    <xf numFmtId="0" fontId="20" fillId="13" borderId="8" xfId="2" applyFont="1" applyBorder="1" applyAlignment="1" applyProtection="1">
      <alignment horizontal="center" vertical="top"/>
      <protection locked="0"/>
    </xf>
    <xf numFmtId="0" fontId="20" fillId="13" borderId="8" xfId="2" applyFont="1" applyBorder="1" applyAlignment="1" applyProtection="1">
      <alignment horizontal="left" vertical="center"/>
      <protection locked="0"/>
    </xf>
    <xf numFmtId="0" fontId="20" fillId="13" borderId="8" xfId="2" applyFont="1" applyBorder="1" applyAlignment="1" applyProtection="1">
      <alignment horizontal="center" vertical="center"/>
      <protection locked="0"/>
    </xf>
    <xf numFmtId="17" fontId="15" fillId="13" borderId="8" xfId="2" applyNumberFormat="1" applyFont="1" applyBorder="1" applyAlignment="1" applyProtection="1">
      <alignment horizontal="center"/>
      <protection locked="0"/>
    </xf>
    <xf numFmtId="0" fontId="15" fillId="13" borderId="8" xfId="2" applyFont="1" applyBorder="1" applyAlignment="1" applyProtection="1">
      <alignment horizontal="center"/>
      <protection locked="0"/>
    </xf>
    <xf numFmtId="9" fontId="27" fillId="13" borderId="4" xfId="3" applyFont="1" applyBorder="1" applyAlignment="1" applyProtection="1">
      <alignment horizontal="center" vertical="center" wrapText="1"/>
      <protection locked="0"/>
    </xf>
    <xf numFmtId="9" fontId="27" fillId="13" borderId="6" xfId="3" applyFont="1" applyBorder="1" applyAlignment="1" applyProtection="1">
      <alignment horizontal="center" vertical="center" wrapText="1"/>
      <protection locked="0"/>
    </xf>
    <xf numFmtId="0" fontId="20" fillId="13" borderId="4" xfId="2" applyFont="1" applyBorder="1" applyAlignment="1" applyProtection="1">
      <alignment horizontal="center" vertical="top"/>
      <protection locked="0"/>
    </xf>
    <xf numFmtId="0" fontId="20" fillId="13" borderId="5" xfId="2" applyFont="1" applyBorder="1" applyAlignment="1" applyProtection="1">
      <alignment horizontal="center" vertical="top"/>
      <protection locked="0"/>
    </xf>
    <xf numFmtId="0" fontId="20" fillId="13" borderId="6" xfId="2" applyFont="1" applyBorder="1" applyAlignment="1" applyProtection="1">
      <alignment horizontal="center" vertical="top"/>
      <protection locked="0"/>
    </xf>
    <xf numFmtId="0" fontId="15" fillId="13" borderId="1" xfId="2" applyFont="1" applyAlignment="1" applyProtection="1">
      <alignment horizontal="center"/>
      <protection locked="0"/>
    </xf>
    <xf numFmtId="0" fontId="15" fillId="13" borderId="1" xfId="2" applyFont="1" applyAlignment="1" applyProtection="1">
      <alignment horizontal="center" wrapText="1"/>
      <protection locked="0"/>
    </xf>
    <xf numFmtId="0" fontId="28" fillId="13" borderId="1" xfId="2" applyFont="1" applyAlignment="1" applyProtection="1">
      <alignment horizontal="center"/>
      <protection locked="0"/>
    </xf>
    <xf numFmtId="0" fontId="15" fillId="13" borderId="21" xfId="2" applyFont="1" applyBorder="1" applyAlignment="1" applyProtection="1">
      <alignment horizontal="center"/>
      <protection locked="0"/>
    </xf>
    <xf numFmtId="4" fontId="4" fillId="10" borderId="39" xfId="0" applyNumberFormat="1" applyFont="1" applyFill="1" applyBorder="1" applyAlignment="1" applyProtection="1">
      <alignment horizontal="center" vertical="center" wrapText="1"/>
    </xf>
    <xf numFmtId="4" fontId="4" fillId="10" borderId="40" xfId="0" applyNumberFormat="1" applyFont="1" applyFill="1" applyBorder="1" applyAlignment="1" applyProtection="1">
      <alignment horizontal="center" vertical="center" wrapText="1"/>
    </xf>
    <xf numFmtId="4" fontId="4" fillId="10" borderId="41" xfId="0" applyNumberFormat="1" applyFont="1" applyFill="1" applyBorder="1" applyAlignment="1" applyProtection="1">
      <alignment horizontal="center" vertical="center" wrapText="1"/>
    </xf>
    <xf numFmtId="0" fontId="2" fillId="6" borderId="39" xfId="0" applyNumberFormat="1" applyFont="1" applyFill="1" applyBorder="1" applyAlignment="1" applyProtection="1">
      <alignment horizontal="center" vertical="center" wrapText="1"/>
      <protection locked="0"/>
    </xf>
    <xf numFmtId="0" fontId="2" fillId="6" borderId="40" xfId="0" applyNumberFormat="1" applyFont="1" applyFill="1" applyBorder="1" applyAlignment="1" applyProtection="1">
      <alignment horizontal="center" vertical="center" wrapText="1"/>
      <protection locked="0"/>
    </xf>
    <xf numFmtId="0" fontId="2" fillId="6" borderId="41" xfId="0" applyNumberFormat="1" applyFont="1" applyFill="1" applyBorder="1" applyAlignment="1" applyProtection="1">
      <alignment horizontal="center" vertical="center" wrapText="1"/>
      <protection locked="0"/>
    </xf>
    <xf numFmtId="0" fontId="2" fillId="5" borderId="39" xfId="0" applyNumberFormat="1" applyFont="1" applyFill="1" applyBorder="1" applyAlignment="1" applyProtection="1">
      <alignment horizontal="left" vertical="center" wrapText="1"/>
    </xf>
    <xf numFmtId="0" fontId="2" fillId="5" borderId="40" xfId="0" applyNumberFormat="1" applyFont="1" applyFill="1" applyBorder="1" applyAlignment="1" applyProtection="1">
      <alignment horizontal="left" vertical="center" wrapText="1"/>
    </xf>
    <xf numFmtId="0" fontId="2" fillId="5" borderId="41" xfId="0" applyNumberFormat="1" applyFont="1" applyFill="1" applyBorder="1" applyAlignment="1" applyProtection="1">
      <alignment horizontal="left" vertical="center" wrapText="1"/>
    </xf>
    <xf numFmtId="0" fontId="2" fillId="16" borderId="39" xfId="0" applyNumberFormat="1" applyFont="1" applyFill="1" applyBorder="1" applyAlignment="1" applyProtection="1">
      <alignment horizontal="left" vertical="center" wrapText="1"/>
    </xf>
    <xf numFmtId="0" fontId="2" fillId="16" borderId="40" xfId="0" applyNumberFormat="1" applyFont="1" applyFill="1" applyBorder="1" applyAlignment="1" applyProtection="1">
      <alignment horizontal="left" vertical="center" wrapText="1"/>
    </xf>
    <xf numFmtId="0" fontId="2" fillId="16" borderId="41" xfId="0" applyNumberFormat="1" applyFont="1" applyFill="1" applyBorder="1" applyAlignment="1" applyProtection="1">
      <alignment horizontal="left" vertical="center" wrapText="1"/>
    </xf>
    <xf numFmtId="0" fontId="0" fillId="0" borderId="0" xfId="0" applyAlignment="1">
      <alignment horizontal="center"/>
    </xf>
    <xf numFmtId="0" fontId="11" fillId="13" borderId="10" xfId="0" applyFont="1" applyFill="1" applyBorder="1" applyAlignment="1">
      <alignment horizontal="center" vertical="center"/>
    </xf>
    <xf numFmtId="0" fontId="11" fillId="13" borderId="7"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12" xfId="0" applyFont="1" applyFill="1" applyBorder="1" applyAlignment="1">
      <alignment horizontal="center" vertical="center"/>
    </xf>
    <xf numFmtId="0" fontId="11" fillId="13" borderId="1" xfId="0" applyFont="1" applyFill="1" applyBorder="1" applyAlignment="1">
      <alignment horizontal="center" vertical="center"/>
    </xf>
    <xf numFmtId="0" fontId="11" fillId="13" borderId="13" xfId="0" applyFont="1" applyFill="1" applyBorder="1" applyAlignment="1">
      <alignment horizontal="center" vertical="center"/>
    </xf>
    <xf numFmtId="0" fontId="11" fillId="13" borderId="31" xfId="0" applyFont="1" applyFill="1" applyBorder="1" applyAlignment="1">
      <alignment horizontal="center" vertical="center"/>
    </xf>
    <xf numFmtId="0" fontId="11" fillId="13" borderId="32" xfId="0" applyFont="1" applyFill="1" applyBorder="1" applyAlignment="1">
      <alignment horizontal="center" vertical="center"/>
    </xf>
    <xf numFmtId="0" fontId="11" fillId="13" borderId="33" xfId="0" applyFont="1" applyFill="1" applyBorder="1" applyAlignment="1">
      <alignment horizontal="center" vertical="center"/>
    </xf>
    <xf numFmtId="0" fontId="2" fillId="3" borderId="34" xfId="0" applyNumberFormat="1" applyFont="1" applyFill="1" applyBorder="1" applyAlignment="1" applyProtection="1">
      <alignment horizontal="center" vertical="center" wrapText="1"/>
    </xf>
    <xf numFmtId="0" fontId="2" fillId="3" borderId="38" xfId="0" applyNumberFormat="1" applyFont="1" applyFill="1" applyBorder="1" applyAlignment="1" applyProtection="1">
      <alignment horizontal="center" vertical="center" wrapText="1"/>
    </xf>
    <xf numFmtId="0" fontId="2" fillId="3" borderId="35" xfId="0" applyNumberFormat="1" applyFont="1" applyFill="1" applyBorder="1" applyAlignment="1" applyProtection="1">
      <alignment horizontal="center" vertical="center" wrapText="1"/>
    </xf>
    <xf numFmtId="0" fontId="2" fillId="3" borderId="36" xfId="0" applyNumberFormat="1" applyFont="1" applyFill="1" applyBorder="1" applyAlignment="1" applyProtection="1">
      <alignment horizontal="center" vertical="center" wrapText="1"/>
    </xf>
    <xf numFmtId="0" fontId="2" fillId="3" borderId="32" xfId="0" applyNumberFormat="1" applyFont="1" applyFill="1" applyBorder="1" applyAlignment="1" applyProtection="1">
      <alignment horizontal="center" vertical="center" wrapText="1"/>
    </xf>
    <xf numFmtId="0" fontId="2" fillId="3" borderId="37" xfId="0" applyNumberFormat="1" applyFont="1" applyFill="1" applyBorder="1" applyAlignment="1" applyProtection="1">
      <alignment horizontal="center" vertical="center" wrapText="1"/>
    </xf>
    <xf numFmtId="0" fontId="3" fillId="15" borderId="39" xfId="0" applyNumberFormat="1" applyFont="1" applyFill="1" applyBorder="1" applyAlignment="1" applyProtection="1">
      <alignment horizontal="left" vertical="center" wrapText="1"/>
    </xf>
    <xf numFmtId="0" fontId="2" fillId="15" borderId="40" xfId="0" applyNumberFormat="1" applyFont="1" applyFill="1" applyBorder="1" applyAlignment="1" applyProtection="1">
      <alignment horizontal="left" vertical="center" wrapText="1"/>
    </xf>
    <xf numFmtId="0" fontId="2" fillId="15" borderId="41" xfId="0" applyNumberFormat="1" applyFont="1" applyFill="1" applyBorder="1" applyAlignment="1" applyProtection="1">
      <alignment horizontal="left" vertical="center" wrapText="1"/>
    </xf>
    <xf numFmtId="0" fontId="10" fillId="0" borderId="4" xfId="0" applyFont="1" applyBorder="1" applyAlignment="1">
      <alignment horizontal="center"/>
    </xf>
    <xf numFmtId="0" fontId="10" fillId="0" borderId="6" xfId="0" applyFont="1" applyBorder="1" applyAlignment="1">
      <alignment horizontal="center"/>
    </xf>
    <xf numFmtId="0" fontId="0" fillId="0" borderId="12" xfId="0" applyBorder="1" applyAlignment="1">
      <alignment horizontal="left" wrapText="1"/>
    </xf>
    <xf numFmtId="0" fontId="0" fillId="2" borderId="14" xfId="0" applyNumberFormat="1" applyFont="1" applyFill="1" applyBorder="1" applyAlignment="1" applyProtection="1">
      <alignment horizontal="left" vertical="top" wrapText="1"/>
      <protection locked="0"/>
    </xf>
    <xf numFmtId="0" fontId="1" fillId="13" borderId="3" xfId="6" applyBorder="1" applyAlignment="1">
      <alignment horizontal="center"/>
    </xf>
    <xf numFmtId="0" fontId="31" fillId="13" borderId="62" xfId="6" applyFont="1" applyBorder="1" applyAlignment="1">
      <alignment horizontal="left" vertical="center" wrapText="1"/>
    </xf>
    <xf numFmtId="0" fontId="31" fillId="13" borderId="62" xfId="6" applyFont="1" applyBorder="1" applyAlignment="1" applyProtection="1">
      <alignment horizontal="left" vertical="center" wrapText="1"/>
      <protection locked="0"/>
    </xf>
    <xf numFmtId="0" fontId="32" fillId="13" borderId="8" xfId="6" applyFont="1" applyBorder="1" applyAlignment="1">
      <alignment horizontal="left" vertical="center" wrapText="1"/>
    </xf>
    <xf numFmtId="0" fontId="32" fillId="13" borderId="8" xfId="6" applyFont="1" applyBorder="1" applyAlignment="1" applyProtection="1">
      <alignment horizontal="left" vertical="center" wrapText="1"/>
      <protection locked="0"/>
    </xf>
    <xf numFmtId="4" fontId="32" fillId="13" borderId="8" xfId="6" applyNumberFormat="1" applyFont="1" applyBorder="1" applyAlignment="1">
      <alignment horizontal="right" vertical="center" wrapText="1"/>
    </xf>
    <xf numFmtId="0" fontId="32" fillId="13" borderId="8" xfId="6" applyFont="1" applyBorder="1" applyAlignment="1" applyProtection="1">
      <alignment horizontal="right" vertical="center" wrapText="1"/>
      <protection locked="0"/>
    </xf>
    <xf numFmtId="0" fontId="1" fillId="13" borderId="64" xfId="6" applyBorder="1" applyAlignment="1">
      <alignment horizontal="center"/>
    </xf>
    <xf numFmtId="4" fontId="31" fillId="18" borderId="37" xfId="6" applyNumberFormat="1" applyFont="1" applyFill="1" applyBorder="1" applyAlignment="1">
      <alignment horizontal="right" vertical="center" wrapText="1"/>
    </xf>
    <xf numFmtId="0" fontId="31" fillId="18" borderId="41" xfId="6" applyFont="1" applyFill="1" applyBorder="1" applyAlignment="1" applyProtection="1">
      <alignment horizontal="right" vertical="center" wrapText="1"/>
      <protection locked="0"/>
    </xf>
    <xf numFmtId="4" fontId="32" fillId="18" borderId="63" xfId="6" applyNumberFormat="1" applyFont="1" applyFill="1" applyBorder="1" applyAlignment="1">
      <alignment horizontal="right" vertical="center" wrapText="1"/>
    </xf>
    <xf numFmtId="0" fontId="32" fillId="18" borderId="53" xfId="6" applyFont="1" applyFill="1" applyBorder="1" applyAlignment="1" applyProtection="1">
      <alignment horizontal="right" vertical="center" wrapText="1"/>
      <protection locked="0"/>
    </xf>
    <xf numFmtId="0" fontId="0" fillId="13" borderId="1" xfId="6" applyFont="1" applyBorder="1" applyAlignment="1">
      <alignment horizontal="center"/>
    </xf>
    <xf numFmtId="0" fontId="1" fillId="13" borderId="1" xfId="6" applyBorder="1" applyAlignment="1">
      <alignment horizontal="center"/>
    </xf>
    <xf numFmtId="0" fontId="1" fillId="13" borderId="55" xfId="6" applyBorder="1" applyAlignment="1">
      <alignment horizontal="center"/>
    </xf>
    <xf numFmtId="0" fontId="0" fillId="13" borderId="29" xfId="6" applyFont="1" applyBorder="1" applyAlignment="1" applyProtection="1">
      <alignment horizontal="left" vertical="top" wrapText="1"/>
      <protection locked="0"/>
    </xf>
    <xf numFmtId="0" fontId="0" fillId="13" borderId="16" xfId="6" applyFont="1" applyBorder="1" applyAlignment="1" applyProtection="1">
      <alignment horizontal="left" vertical="top" wrapText="1"/>
      <protection locked="0"/>
    </xf>
    <xf numFmtId="0" fontId="0" fillId="13" borderId="28" xfId="6" applyFont="1" applyBorder="1" applyAlignment="1" applyProtection="1">
      <alignment horizontal="left" vertical="top" wrapText="1"/>
      <protection locked="0"/>
    </xf>
    <xf numFmtId="0" fontId="30" fillId="13" borderId="58" xfId="6" applyFont="1" applyBorder="1" applyAlignment="1" applyProtection="1">
      <alignment horizontal="center" vertical="top" wrapText="1"/>
      <protection locked="0"/>
    </xf>
    <xf numFmtId="0" fontId="30" fillId="13" borderId="32" xfId="6" applyFont="1" applyBorder="1" applyAlignment="1" applyProtection="1">
      <alignment horizontal="center" vertical="top" wrapText="1"/>
      <protection locked="0"/>
    </xf>
    <xf numFmtId="0" fontId="30" fillId="13" borderId="59" xfId="6" applyFont="1" applyBorder="1" applyAlignment="1" applyProtection="1">
      <alignment horizontal="center" vertical="top" wrapText="1"/>
      <protection locked="0"/>
    </xf>
  </cellXfs>
  <cellStyles count="7">
    <cellStyle name="Hiperlink 2" xfId="4"/>
    <cellStyle name="Normal" xfId="0" builtinId="0"/>
    <cellStyle name="Normal 10" xfId="5"/>
    <cellStyle name="Normal 2" xfId="2"/>
    <cellStyle name="Normal 3" xfId="6"/>
    <cellStyle name="Porcentagem" xfId="1" builtinId="5"/>
    <cellStyle name="Porcentagem 2" xfId="3"/>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45720</xdr:rowOff>
    </xdr:from>
    <xdr:to>
      <xdr:col>9</xdr:col>
      <xdr:colOff>716280</xdr:colOff>
      <xdr:row>0</xdr:row>
      <xdr:rowOff>784860</xdr:rowOff>
    </xdr:to>
    <xdr:pic>
      <xdr:nvPicPr>
        <xdr:cNvPr id="2" name="Imagem 1" descr="C:\Users\notebook\Desktop\CABEÇARIO.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45720"/>
          <a:ext cx="9418320" cy="7391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47625</xdr:colOff>
      <xdr:row>10</xdr:row>
      <xdr:rowOff>39307</xdr:rowOff>
    </xdr:from>
    <xdr:ext cx="2209800" cy="363151"/>
    <xdr:pic>
      <xdr:nvPicPr>
        <xdr:cNvPr id="2" name="Imagem 1">
          <a:extLst>
            <a:ext uri="{FF2B5EF4-FFF2-40B4-BE49-F238E27FC236}">
              <a16:creationId xmlns:a16="http://schemas.microsoft.com/office/drawing/2014/main" xmlns="" id="{FFD338DF-74F0-404C-8F90-15DEF2F98DB7}"/>
            </a:ext>
          </a:extLst>
        </xdr:cNvPr>
        <xdr:cNvPicPr>
          <a:picLocks noChangeAspect="1"/>
        </xdr:cNvPicPr>
      </xdr:nvPicPr>
      <xdr:blipFill>
        <a:blip xmlns:r="http://schemas.openxmlformats.org/officeDocument/2006/relationships" r:embed="rId1"/>
        <a:stretch>
          <a:fillRect/>
        </a:stretch>
      </xdr:blipFill>
      <xdr:spPr>
        <a:xfrm>
          <a:off x="3705225" y="1944307"/>
          <a:ext cx="2209800" cy="363151"/>
        </a:xfrm>
        <a:prstGeom prst="rect">
          <a:avLst/>
        </a:prstGeom>
      </xdr:spPr>
    </xdr:pic>
    <xdr:clientData/>
  </xdr:oneCellAnchor>
  <xdr:twoCellAnchor>
    <xdr:from>
      <xdr:col>3</xdr:col>
      <xdr:colOff>114300</xdr:colOff>
      <xdr:row>0</xdr:row>
      <xdr:rowOff>66675</xdr:rowOff>
    </xdr:from>
    <xdr:to>
      <xdr:col>5</xdr:col>
      <xdr:colOff>19050</xdr:colOff>
      <xdr:row>0</xdr:row>
      <xdr:rowOff>704850</xdr:rowOff>
    </xdr:to>
    <xdr:sp macro="" textlink="">
      <xdr:nvSpPr>
        <xdr:cNvPr id="3" name="Text Box 6">
          <a:extLst>
            <a:ext uri="{FF2B5EF4-FFF2-40B4-BE49-F238E27FC236}">
              <a16:creationId xmlns:a16="http://schemas.microsoft.com/office/drawing/2014/main" xmlns="" id="{319587AB-E42E-4616-A6DA-0537C8F9C4DA}"/>
            </a:ext>
          </a:extLst>
        </xdr:cNvPr>
        <xdr:cNvSpPr txBox="1">
          <a:spLocks noChangeArrowheads="1"/>
        </xdr:cNvSpPr>
      </xdr:nvSpPr>
      <xdr:spPr bwMode="auto">
        <a:xfrm>
          <a:off x="1943100" y="66675"/>
          <a:ext cx="1123950" cy="123825"/>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100" b="0" i="0" u="none" strike="noStrike" baseline="0">
              <a:solidFill>
                <a:srgbClr val="FF0000"/>
              </a:solidFill>
              <a:latin typeface="Arial"/>
              <a:cs typeface="Arial"/>
            </a:rPr>
            <a:t>LOGOMARCA E TIMBRE DO CONVENENTE</a:t>
          </a:r>
        </a:p>
      </xdr:txBody>
    </xdr:sp>
    <xdr:clientData/>
  </xdr:twoCellAnchor>
  <xdr:twoCellAnchor>
    <xdr:from>
      <xdr:col>1</xdr:col>
      <xdr:colOff>47625</xdr:colOff>
      <xdr:row>44</xdr:row>
      <xdr:rowOff>114300</xdr:rowOff>
    </xdr:from>
    <xdr:to>
      <xdr:col>9</xdr:col>
      <xdr:colOff>0</xdr:colOff>
      <xdr:row>45</xdr:row>
      <xdr:rowOff>161925</xdr:rowOff>
    </xdr:to>
    <xdr:sp macro="" textlink="">
      <xdr:nvSpPr>
        <xdr:cNvPr id="4" name="Text Box 7">
          <a:extLst>
            <a:ext uri="{FF2B5EF4-FFF2-40B4-BE49-F238E27FC236}">
              <a16:creationId xmlns:a16="http://schemas.microsoft.com/office/drawing/2014/main" xmlns="" id="{BED99DFA-EF99-495E-82E6-C0F03E1BFB64}"/>
            </a:ext>
          </a:extLst>
        </xdr:cNvPr>
        <xdr:cNvSpPr txBox="1">
          <a:spLocks noChangeArrowheads="1"/>
        </xdr:cNvSpPr>
      </xdr:nvSpPr>
      <xdr:spPr bwMode="auto">
        <a:xfrm>
          <a:off x="657225" y="8877300"/>
          <a:ext cx="4829175" cy="23812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pt-BR"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60960</xdr:rowOff>
    </xdr:from>
    <xdr:to>
      <xdr:col>9</xdr:col>
      <xdr:colOff>662940</xdr:colOff>
      <xdr:row>0</xdr:row>
      <xdr:rowOff>822960</xdr:rowOff>
    </xdr:to>
    <xdr:pic>
      <xdr:nvPicPr>
        <xdr:cNvPr id="2" name="Imagem 1" descr="C:\Users\notebook\Desktop\CABEÇARIO.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60960"/>
          <a:ext cx="9448800"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72887</xdr:colOff>
      <xdr:row>0</xdr:row>
      <xdr:rowOff>39757</xdr:rowOff>
    </xdr:from>
    <xdr:to>
      <xdr:col>7</xdr:col>
      <xdr:colOff>1086677</xdr:colOff>
      <xdr:row>0</xdr:row>
      <xdr:rowOff>958851</xdr:rowOff>
    </xdr:to>
    <xdr:pic>
      <xdr:nvPicPr>
        <xdr:cNvPr id="2" name="Imagem 1" descr="C:\Users\notebook\Desktop\CABEÇARIO.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87" y="39757"/>
          <a:ext cx="8560903" cy="91909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Downloads/PLANILHA%20DE%20COMPOSI&#199;&#195;O%20DO%20BD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Orcamentaria"/>
      <sheetName val="Lista suspensa"/>
    </sheetNames>
    <sheetDataSet>
      <sheetData sheetId="0"/>
      <sheetData sheetId="1">
        <row r="4">
          <cell r="A4" t="str">
            <v>Selecione o tipo de obra</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O4" t="str">
            <v>-</v>
          </cell>
          <cell r="P4" t="str">
            <v>-</v>
          </cell>
          <cell r="Q4" t="str">
            <v>-</v>
          </cell>
          <cell r="R4" t="str">
            <v>-</v>
          </cell>
          <cell r="S4" t="str">
            <v>-</v>
          </cell>
        </row>
        <row r="5">
          <cell r="A5" t="str">
            <v>CONSTRUÇÃO DE EDIFÍCIOS</v>
          </cell>
          <cell r="B5">
            <v>0.2034</v>
          </cell>
          <cell r="C5">
            <v>0.22120000000000001</v>
          </cell>
          <cell r="D5">
            <v>0.25</v>
          </cell>
          <cell r="E5">
            <v>0.03</v>
          </cell>
          <cell r="F5">
            <v>0.04</v>
          </cell>
          <cell r="G5">
            <v>5.5E-2</v>
          </cell>
          <cell r="H5">
            <v>8.0000000000000002E-3</v>
          </cell>
          <cell r="I5">
            <v>8.0000000000000002E-3</v>
          </cell>
          <cell r="J5">
            <v>0.01</v>
          </cell>
          <cell r="K5">
            <v>9.7000000000000003E-3</v>
          </cell>
          <cell r="L5">
            <v>1.2699999999999999E-2</v>
          </cell>
          <cell r="M5">
            <v>1.2699999999999999E-2</v>
          </cell>
          <cell r="N5">
            <v>5.8999999999999999E-3</v>
          </cell>
          <cell r="O5">
            <v>1.23E-2</v>
          </cell>
          <cell r="P5">
            <v>1.3899999999999999E-2</v>
          </cell>
          <cell r="Q5">
            <v>6.1600000000000002E-2</v>
          </cell>
          <cell r="R5">
            <v>7.3999999999999996E-2</v>
          </cell>
          <cell r="S5">
            <v>8.9599999999999999E-2</v>
          </cell>
        </row>
        <row r="6">
          <cell r="A6" t="str">
            <v>CONSTRUÇÃO DE RODOVIAS E FERROVIAS</v>
          </cell>
          <cell r="B6">
            <v>0.19600000000000001</v>
          </cell>
          <cell r="C6">
            <v>0.2097</v>
          </cell>
          <cell r="D6">
            <v>0.24229999999999999</v>
          </cell>
          <cell r="E6">
            <v>3.7999999999999999E-2</v>
          </cell>
          <cell r="F6">
            <v>4.0099999999999997E-2</v>
          </cell>
          <cell r="G6">
            <v>4.6699999999999998E-2</v>
          </cell>
          <cell r="H6">
            <v>3.2000000000000002E-3</v>
          </cell>
          <cell r="I6">
            <v>4.0000000000000001E-3</v>
          </cell>
          <cell r="J6">
            <v>7.4000000000000003E-3</v>
          </cell>
          <cell r="K6">
            <v>5.0000000000000001E-3</v>
          </cell>
          <cell r="L6">
            <v>5.5999999999999999E-3</v>
          </cell>
          <cell r="M6">
            <v>9.7000000000000003E-3</v>
          </cell>
          <cell r="N6">
            <v>1.0200000000000001E-2</v>
          </cell>
          <cell r="O6">
            <v>1.11E-2</v>
          </cell>
          <cell r="P6">
            <v>1.21E-2</v>
          </cell>
          <cell r="Q6">
            <v>6.6400000000000001E-2</v>
          </cell>
          <cell r="R6">
            <v>7.2999999999999995E-2</v>
          </cell>
          <cell r="S6">
            <v>8.6900000000000005E-2</v>
          </cell>
        </row>
        <row r="7">
          <cell r="A7" t="str">
            <v>CONSTRUÇÃO DE REDES DE ABASTECIMENTO DE ÁGUA, COLETA DE ESGOTO E CONSTRUÇÕES CORRELATAS</v>
          </cell>
          <cell r="B7">
            <v>0.20760000000000001</v>
          </cell>
          <cell r="C7">
            <v>0.24179999999999999</v>
          </cell>
          <cell r="D7">
            <v>0.26440000000000002</v>
          </cell>
          <cell r="E7">
            <v>3.4299999999999997E-2</v>
          </cell>
          <cell r="F7">
            <v>4.9299999999999997E-2</v>
          </cell>
          <cell r="G7">
            <v>6.7100000000000007E-2</v>
          </cell>
          <cell r="H7">
            <v>2.8E-3</v>
          </cell>
          <cell r="I7">
            <v>4.8999999999999998E-3</v>
          </cell>
          <cell r="J7">
            <v>7.4999999999999997E-3</v>
          </cell>
          <cell r="K7">
            <v>0.01</v>
          </cell>
          <cell r="L7">
            <v>1.3899999999999999E-2</v>
          </cell>
          <cell r="M7">
            <v>1.7399999999999999E-2</v>
          </cell>
          <cell r="N7">
            <v>9.4000000000000004E-3</v>
          </cell>
          <cell r="O7">
            <v>9.9000000000000008E-3</v>
          </cell>
          <cell r="P7">
            <v>1.17E-2</v>
          </cell>
          <cell r="Q7">
            <v>6.7400000000000002E-2</v>
          </cell>
          <cell r="R7">
            <v>8.0399999999999999E-2</v>
          </cell>
          <cell r="S7">
            <v>9.4E-2</v>
          </cell>
        </row>
        <row r="8">
          <cell r="A8" t="str">
            <v>CONSTRUÇÃO E MANUTENÇÃO DE ESTAÇÕES E REDES DE DISTRIBUIÇÃO DE ENERGIA ELÉTRICA</v>
          </cell>
          <cell r="B8">
            <v>0.24</v>
          </cell>
          <cell r="C8">
            <v>0.25840000000000002</v>
          </cell>
          <cell r="D8">
            <v>0.27860000000000001</v>
          </cell>
          <cell r="E8">
            <v>5.2900000000000003E-2</v>
          </cell>
          <cell r="F8">
            <v>5.9200000000000003E-2</v>
          </cell>
          <cell r="G8">
            <v>7.9299999999999995E-2</v>
          </cell>
          <cell r="H8">
            <v>2.5000000000000001E-3</v>
          </cell>
          <cell r="I8">
            <v>5.1000000000000004E-3</v>
          </cell>
          <cell r="J8">
            <v>5.5999999999999999E-3</v>
          </cell>
          <cell r="K8">
            <v>0.01</v>
          </cell>
          <cell r="L8">
            <v>1.4800000000000001E-2</v>
          </cell>
          <cell r="M8">
            <v>1.9699999999999999E-2</v>
          </cell>
          <cell r="N8">
            <v>1.01E-2</v>
          </cell>
          <cell r="O8">
            <v>1.0699999999999999E-2</v>
          </cell>
          <cell r="P8">
            <v>1.11E-2</v>
          </cell>
          <cell r="Q8">
            <v>0.08</v>
          </cell>
          <cell r="R8">
            <v>8.3099999999999993E-2</v>
          </cell>
          <cell r="S8">
            <v>9.5100000000000004E-2</v>
          </cell>
        </row>
        <row r="9">
          <cell r="A9" t="str">
            <v>OBRAS PORTUÁRIAS, MARÍTIMAS E FLUVIAIS</v>
          </cell>
          <cell r="B9">
            <v>0.22800000000000001</v>
          </cell>
          <cell r="C9">
            <v>0.27479999999999999</v>
          </cell>
          <cell r="D9">
            <v>0.3095</v>
          </cell>
          <cell r="E9">
            <v>0.04</v>
          </cell>
          <cell r="F9">
            <v>5.5199999999999999E-2</v>
          </cell>
          <cell r="G9">
            <v>7.85E-2</v>
          </cell>
          <cell r="H9">
            <v>8.0999999999999996E-3</v>
          </cell>
          <cell r="I9">
            <v>1.2200000000000001E-2</v>
          </cell>
          <cell r="J9">
            <v>1.9900000000000001E-2</v>
          </cell>
          <cell r="K9">
            <v>1.46E-2</v>
          </cell>
          <cell r="L9">
            <v>2.3199999999999998E-2</v>
          </cell>
          <cell r="M9">
            <v>3.1600000000000003E-2</v>
          </cell>
          <cell r="N9">
            <v>9.4000000000000004E-3</v>
          </cell>
          <cell r="O9">
            <v>1.0200000000000001E-2</v>
          </cell>
          <cell r="P9">
            <v>1.3299999999999999E-2</v>
          </cell>
          <cell r="Q9">
            <v>7.1400000000000005E-2</v>
          </cell>
          <cell r="R9">
            <v>8.4000000000000005E-2</v>
          </cell>
          <cell r="S9">
            <v>0.1043</v>
          </cell>
        </row>
        <row r="10">
          <cell r="A10" t="str">
            <v>FORNECIMENTO DE MATERIAIS E EQUIPAMENTOS</v>
          </cell>
          <cell r="B10">
            <v>0.111</v>
          </cell>
          <cell r="C10">
            <v>0.14019999999999999</v>
          </cell>
          <cell r="D10">
            <v>0.16800000000000001</v>
          </cell>
          <cell r="E10">
            <v>1.4999999999999999E-2</v>
          </cell>
          <cell r="F10">
            <v>3.4500000000000003E-2</v>
          </cell>
          <cell r="G10">
            <v>4.4900000000000002E-2</v>
          </cell>
          <cell r="H10">
            <v>3.0000000000000001E-3</v>
          </cell>
          <cell r="I10">
            <v>4.7999999999999996E-3</v>
          </cell>
          <cell r="J10">
            <v>8.2000000000000007E-3</v>
          </cell>
          <cell r="K10">
            <v>5.5999999999999999E-3</v>
          </cell>
          <cell r="L10">
            <v>8.5000000000000006E-3</v>
          </cell>
          <cell r="M10">
            <v>8.8999999999999999E-3</v>
          </cell>
          <cell r="N10">
            <v>8.5000000000000006E-3</v>
          </cell>
          <cell r="O10">
            <v>8.5000000000000006E-3</v>
          </cell>
          <cell r="P10">
            <v>1.11E-2</v>
          </cell>
          <cell r="Q10">
            <v>3.5000000000000003E-2</v>
          </cell>
          <cell r="R10">
            <v>5.11E-2</v>
          </cell>
          <cell r="S10">
            <v>6.2199999999999998E-2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esquisa.apps.tcu.gov.b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169"/>
  <sheetViews>
    <sheetView view="pageBreakPreview" zoomScaleNormal="100" zoomScaleSheetLayoutView="100" workbookViewId="0">
      <selection activeCell="C12" sqref="C12"/>
    </sheetView>
  </sheetViews>
  <sheetFormatPr defaultRowHeight="14.4"/>
  <cols>
    <col min="1" max="1" width="10.109375" customWidth="1"/>
    <col min="2" max="2" width="10.88671875" customWidth="1"/>
    <col min="3" max="3" width="47.88671875" bestFit="1"/>
    <col min="4" max="4" width="10" customWidth="1"/>
    <col min="5" max="5" width="7.44140625" customWidth="1"/>
    <col min="6" max="8" width="10" customWidth="1"/>
    <col min="9" max="9" width="11" customWidth="1"/>
    <col min="10" max="10" width="10.88671875" customWidth="1"/>
  </cols>
  <sheetData>
    <row r="1" spans="1:12" ht="63.75" customHeight="1">
      <c r="A1" s="122"/>
      <c r="B1" s="123"/>
      <c r="C1" s="123"/>
      <c r="D1" s="123"/>
      <c r="E1" s="123"/>
      <c r="F1" s="123"/>
      <c r="G1" s="123"/>
      <c r="H1" s="123"/>
      <c r="I1" s="123"/>
      <c r="J1" s="124"/>
      <c r="K1" s="18"/>
    </row>
    <row r="2" spans="1:12" ht="15.6">
      <c r="A2" s="128" t="s">
        <v>311</v>
      </c>
      <c r="B2" s="129"/>
      <c r="C2" s="129"/>
      <c r="D2" s="129"/>
      <c r="E2" s="129"/>
      <c r="F2" s="129"/>
      <c r="G2" s="129"/>
      <c r="H2" s="129"/>
      <c r="I2" s="129"/>
      <c r="J2" s="130"/>
      <c r="K2" s="18"/>
    </row>
    <row r="3" spans="1:12">
      <c r="A3" s="65" t="s">
        <v>312</v>
      </c>
      <c r="B3" s="15"/>
      <c r="C3" s="15"/>
      <c r="D3" s="15"/>
      <c r="E3" s="15"/>
      <c r="F3" s="16"/>
      <c r="G3" s="131" t="s">
        <v>316</v>
      </c>
      <c r="H3" s="132"/>
      <c r="I3" s="133" t="s">
        <v>317</v>
      </c>
      <c r="J3" s="134"/>
      <c r="K3" s="18"/>
    </row>
    <row r="4" spans="1:12">
      <c r="A4" s="66" t="s">
        <v>313</v>
      </c>
      <c r="B4" s="18"/>
      <c r="C4" s="18"/>
      <c r="D4" s="18"/>
      <c r="E4" s="18"/>
      <c r="F4" s="19"/>
      <c r="G4" s="131" t="s">
        <v>318</v>
      </c>
      <c r="H4" s="132"/>
      <c r="I4" s="135">
        <f ca="1">TODAY()</f>
        <v>44721</v>
      </c>
      <c r="J4" s="136"/>
      <c r="K4" s="18"/>
    </row>
    <row r="5" spans="1:12">
      <c r="A5" s="66" t="s">
        <v>548</v>
      </c>
      <c r="B5" s="18"/>
      <c r="C5" s="18"/>
      <c r="D5" s="18"/>
      <c r="E5" s="18"/>
      <c r="F5" s="19"/>
      <c r="G5" s="116" t="s">
        <v>319</v>
      </c>
      <c r="H5" s="117"/>
      <c r="I5" s="117"/>
      <c r="J5" s="118"/>
      <c r="K5" s="18"/>
    </row>
    <row r="6" spans="1:12" ht="15" customHeight="1">
      <c r="A6" s="125" t="s">
        <v>314</v>
      </c>
      <c r="B6" s="126"/>
      <c r="C6" s="126"/>
      <c r="D6" s="126"/>
      <c r="E6" s="126"/>
      <c r="F6" s="127"/>
      <c r="G6" s="10" t="s">
        <v>320</v>
      </c>
      <c r="H6" s="11" t="s">
        <v>321</v>
      </c>
      <c r="I6" s="10" t="s">
        <v>322</v>
      </c>
      <c r="J6" s="67" t="s">
        <v>323</v>
      </c>
      <c r="K6" s="18"/>
    </row>
    <row r="7" spans="1:12" ht="18.75" customHeight="1">
      <c r="A7" s="119" t="s">
        <v>315</v>
      </c>
      <c r="B7" s="120"/>
      <c r="C7" s="120"/>
      <c r="D7" s="120"/>
      <c r="E7" s="120"/>
      <c r="F7" s="121"/>
      <c r="G7" s="12" t="s">
        <v>324</v>
      </c>
      <c r="H7" s="13">
        <v>0.03</v>
      </c>
      <c r="I7" s="10" t="s">
        <v>325</v>
      </c>
      <c r="J7" s="68">
        <v>0.28439999999999999</v>
      </c>
      <c r="K7" s="18"/>
    </row>
    <row r="8" spans="1:12" ht="12" customHeight="1">
      <c r="A8" s="114" t="s">
        <v>0</v>
      </c>
      <c r="B8" s="108" t="s">
        <v>1</v>
      </c>
      <c r="C8" s="108" t="s">
        <v>2</v>
      </c>
      <c r="D8" s="108" t="s">
        <v>3</v>
      </c>
      <c r="E8" s="108" t="s">
        <v>4</v>
      </c>
      <c r="F8" s="108" t="s">
        <v>5</v>
      </c>
      <c r="G8" s="110" t="s">
        <v>6</v>
      </c>
      <c r="H8" s="109"/>
      <c r="I8" s="110" t="s">
        <v>7</v>
      </c>
      <c r="J8" s="111"/>
      <c r="K8" s="18"/>
    </row>
    <row r="9" spans="1:12" ht="9.9" customHeight="1">
      <c r="A9" s="115"/>
      <c r="B9" s="109"/>
      <c r="C9" s="109"/>
      <c r="D9" s="109"/>
      <c r="E9" s="109"/>
      <c r="F9" s="109"/>
      <c r="G9" s="61" t="s">
        <v>8</v>
      </c>
      <c r="H9" s="61" t="s">
        <v>9</v>
      </c>
      <c r="I9" s="61" t="s">
        <v>8</v>
      </c>
      <c r="J9" s="69" t="s">
        <v>9</v>
      </c>
      <c r="K9" s="18"/>
    </row>
    <row r="10" spans="1:12" ht="12.75" customHeight="1">
      <c r="A10" s="70" t="s">
        <v>10</v>
      </c>
      <c r="B10" s="112" t="s">
        <v>507</v>
      </c>
      <c r="C10" s="113"/>
      <c r="D10" s="113"/>
      <c r="E10" s="113"/>
      <c r="F10" s="113"/>
      <c r="G10" s="113"/>
      <c r="H10" s="113"/>
      <c r="I10" s="5">
        <f>J159</f>
        <v>75050.929999999993</v>
      </c>
      <c r="J10" s="71">
        <f>J160</f>
        <v>96376.74</v>
      </c>
      <c r="K10" s="18"/>
    </row>
    <row r="11" spans="1:12" ht="10.5" customHeight="1">
      <c r="A11" s="72" t="s">
        <v>11</v>
      </c>
      <c r="B11" s="101" t="s">
        <v>12</v>
      </c>
      <c r="C11" s="102"/>
      <c r="D11" s="102"/>
      <c r="E11" s="102"/>
      <c r="F11" s="102"/>
      <c r="G11" s="102"/>
      <c r="H11" s="102"/>
      <c r="I11" s="6">
        <f>SUM(I12:I13)</f>
        <v>1409.73</v>
      </c>
      <c r="J11" s="73">
        <f>SUM(J12:J13)</f>
        <v>1810.4099999999999</v>
      </c>
      <c r="K11" s="18"/>
    </row>
    <row r="12" spans="1:12" ht="57" customHeight="1">
      <c r="A12" s="74" t="s">
        <v>13</v>
      </c>
      <c r="B12" s="3" t="s">
        <v>14</v>
      </c>
      <c r="C12" s="2" t="s">
        <v>15</v>
      </c>
      <c r="D12" s="3" t="s">
        <v>16</v>
      </c>
      <c r="E12" s="3" t="s">
        <v>17</v>
      </c>
      <c r="F12" s="4">
        <v>1</v>
      </c>
      <c r="G12" s="4">
        <v>1036.1500000000001</v>
      </c>
      <c r="H12" s="4">
        <f>ROUND(G12+G12*J7,2)</f>
        <v>1330.83</v>
      </c>
      <c r="I12" s="4">
        <f>F12*G12</f>
        <v>1036.1500000000001</v>
      </c>
      <c r="J12" s="75">
        <v>1330.83</v>
      </c>
      <c r="K12" s="18"/>
      <c r="L12" s="45"/>
    </row>
    <row r="13" spans="1:12">
      <c r="A13" s="74" t="s">
        <v>429</v>
      </c>
      <c r="B13" s="3" t="s">
        <v>18</v>
      </c>
      <c r="C13" s="2" t="s">
        <v>19</v>
      </c>
      <c r="D13" s="3" t="s">
        <v>16</v>
      </c>
      <c r="E13" s="3" t="s">
        <v>20</v>
      </c>
      <c r="F13" s="4">
        <v>57.92</v>
      </c>
      <c r="G13" s="4">
        <v>6.45</v>
      </c>
      <c r="H13" s="4">
        <f>ROUND(G13+G13*J7,2)</f>
        <v>8.2799999999999994</v>
      </c>
      <c r="I13" s="4">
        <f>ROUND(F13*G13,2)</f>
        <v>373.58</v>
      </c>
      <c r="J13" s="75">
        <v>479.58</v>
      </c>
      <c r="K13" s="18"/>
    </row>
    <row r="14" spans="1:12" ht="15" customHeight="1">
      <c r="A14" s="72" t="s">
        <v>21</v>
      </c>
      <c r="B14" s="101" t="s">
        <v>22</v>
      </c>
      <c r="C14" s="102"/>
      <c r="D14" s="102"/>
      <c r="E14" s="102"/>
      <c r="F14" s="102"/>
      <c r="G14" s="102"/>
      <c r="H14" s="102"/>
      <c r="I14" s="6">
        <f>SUM(I15:I15)</f>
        <v>328.5</v>
      </c>
      <c r="J14" s="73">
        <f>SUM(J15:J15)</f>
        <v>423</v>
      </c>
      <c r="K14" s="18"/>
    </row>
    <row r="15" spans="1:12" ht="38.25" customHeight="1">
      <c r="A15" s="74" t="s">
        <v>23</v>
      </c>
      <c r="B15" s="3" t="s">
        <v>24</v>
      </c>
      <c r="C15" s="2" t="s">
        <v>25</v>
      </c>
      <c r="D15" s="3" t="s">
        <v>16</v>
      </c>
      <c r="E15" s="3" t="s">
        <v>20</v>
      </c>
      <c r="F15" s="4">
        <v>225</v>
      </c>
      <c r="G15" s="4">
        <v>1.46</v>
      </c>
      <c r="H15" s="4">
        <f>ROUND(G15+G15*J7,2)</f>
        <v>1.88</v>
      </c>
      <c r="I15" s="4">
        <f>ROUND(F15*G15,2)</f>
        <v>328.5</v>
      </c>
      <c r="J15" s="75">
        <v>423</v>
      </c>
      <c r="K15" s="18"/>
      <c r="L15" s="45"/>
    </row>
    <row r="16" spans="1:12" ht="12" customHeight="1">
      <c r="A16" s="72" t="s">
        <v>26</v>
      </c>
      <c r="B16" s="101" t="s">
        <v>27</v>
      </c>
      <c r="C16" s="102"/>
      <c r="D16" s="102"/>
      <c r="E16" s="102"/>
      <c r="F16" s="102"/>
      <c r="G16" s="102"/>
      <c r="H16" s="102"/>
      <c r="I16" s="6">
        <f>SUM(I17:I24)</f>
        <v>5950.77</v>
      </c>
      <c r="J16" s="73">
        <f>SUM(J17:J24)</f>
        <v>7643.6100000000006</v>
      </c>
      <c r="K16" s="18"/>
    </row>
    <row r="17" spans="1:11">
      <c r="A17" s="74" t="s">
        <v>28</v>
      </c>
      <c r="B17" s="3" t="s">
        <v>29</v>
      </c>
      <c r="C17" s="2" t="s">
        <v>30</v>
      </c>
      <c r="D17" s="3" t="s">
        <v>16</v>
      </c>
      <c r="E17" s="3" t="s">
        <v>31</v>
      </c>
      <c r="F17" s="4">
        <v>4.29</v>
      </c>
      <c r="G17" s="4">
        <v>32.1</v>
      </c>
      <c r="H17" s="4">
        <f>ROUND(G17+G17*J7,2)</f>
        <v>41.23</v>
      </c>
      <c r="I17" s="4">
        <f>ROUND(G17*F17,2)</f>
        <v>137.71</v>
      </c>
      <c r="J17" s="75">
        <v>176.88</v>
      </c>
      <c r="K17" s="18"/>
    </row>
    <row r="18" spans="1:11">
      <c r="A18" s="74" t="s">
        <v>32</v>
      </c>
      <c r="B18" s="3" t="s">
        <v>33</v>
      </c>
      <c r="C18" s="2" t="s">
        <v>34</v>
      </c>
      <c r="D18" s="3" t="s">
        <v>16</v>
      </c>
      <c r="E18" s="3" t="s">
        <v>20</v>
      </c>
      <c r="F18" s="4">
        <v>11.36</v>
      </c>
      <c r="G18" s="4">
        <v>10.86</v>
      </c>
      <c r="H18" s="4">
        <f>ROUND(G18+G18*J7,2)</f>
        <v>13.95</v>
      </c>
      <c r="I18" s="4">
        <f t="shared" ref="I18:I24" si="0">ROUND(G18*F18,2)</f>
        <v>123.37</v>
      </c>
      <c r="J18" s="75">
        <v>158.47</v>
      </c>
      <c r="K18" s="18"/>
    </row>
    <row r="19" spans="1:11" ht="22.8">
      <c r="A19" s="74" t="s">
        <v>35</v>
      </c>
      <c r="B19" s="3" t="s">
        <v>36</v>
      </c>
      <c r="C19" s="2" t="s">
        <v>37</v>
      </c>
      <c r="D19" s="3" t="s">
        <v>38</v>
      </c>
      <c r="E19" s="3" t="s">
        <v>39</v>
      </c>
      <c r="F19" s="4">
        <v>14.48</v>
      </c>
      <c r="G19" s="4">
        <v>16.45</v>
      </c>
      <c r="H19" s="4">
        <f>ROUND(G19+G19*J7,2)</f>
        <v>21.13</v>
      </c>
      <c r="I19" s="4">
        <f t="shared" si="0"/>
        <v>238.2</v>
      </c>
      <c r="J19" s="75">
        <v>305.95999999999998</v>
      </c>
      <c r="K19" s="18"/>
    </row>
    <row r="20" spans="1:11" ht="22.8">
      <c r="A20" s="74" t="s">
        <v>40</v>
      </c>
      <c r="B20" s="3" t="s">
        <v>41</v>
      </c>
      <c r="C20" s="2" t="s">
        <v>42</v>
      </c>
      <c r="D20" s="3" t="s">
        <v>16</v>
      </c>
      <c r="E20" s="3" t="s">
        <v>31</v>
      </c>
      <c r="F20" s="4">
        <v>0.32</v>
      </c>
      <c r="G20" s="4">
        <v>314.70999999999998</v>
      </c>
      <c r="H20" s="4">
        <f>ROUND(G20+G20*J7,2)</f>
        <v>404.21</v>
      </c>
      <c r="I20" s="4">
        <f t="shared" si="0"/>
        <v>100.71</v>
      </c>
      <c r="J20" s="75">
        <v>129.35</v>
      </c>
      <c r="K20" s="18"/>
    </row>
    <row r="21" spans="1:11" ht="45.6">
      <c r="A21" s="74" t="s">
        <v>43</v>
      </c>
      <c r="B21" s="3" t="s">
        <v>44</v>
      </c>
      <c r="C21" s="2" t="s">
        <v>45</v>
      </c>
      <c r="D21" s="3" t="s">
        <v>16</v>
      </c>
      <c r="E21" s="3" t="s">
        <v>31</v>
      </c>
      <c r="F21" s="4">
        <v>4.29</v>
      </c>
      <c r="G21" s="4">
        <v>438.63</v>
      </c>
      <c r="H21" s="4">
        <f>ROUND(G21+G21*J7,2)</f>
        <v>563.38</v>
      </c>
      <c r="I21" s="4">
        <f t="shared" si="0"/>
        <v>1881.72</v>
      </c>
      <c r="J21" s="75">
        <v>2416.9</v>
      </c>
      <c r="K21" s="18"/>
    </row>
    <row r="22" spans="1:11">
      <c r="A22" s="74" t="s">
        <v>46</v>
      </c>
      <c r="B22" s="3" t="s">
        <v>47</v>
      </c>
      <c r="C22" s="2" t="s">
        <v>48</v>
      </c>
      <c r="D22" s="3" t="s">
        <v>16</v>
      </c>
      <c r="E22" s="3" t="s">
        <v>49</v>
      </c>
      <c r="F22" s="4">
        <v>102</v>
      </c>
      <c r="G22" s="4">
        <v>10.4</v>
      </c>
      <c r="H22" s="4">
        <f>ROUND(G22+G22*J7,2)</f>
        <v>13.36</v>
      </c>
      <c r="I22" s="4">
        <f t="shared" si="0"/>
        <v>1060.8</v>
      </c>
      <c r="J22" s="75">
        <v>1362.72</v>
      </c>
      <c r="K22" s="18"/>
    </row>
    <row r="23" spans="1:11" ht="22.8">
      <c r="A23" s="74" t="s">
        <v>50</v>
      </c>
      <c r="B23" s="3" t="s">
        <v>51</v>
      </c>
      <c r="C23" s="2" t="s">
        <v>52</v>
      </c>
      <c r="D23" s="3" t="s">
        <v>38</v>
      </c>
      <c r="E23" s="3" t="s">
        <v>53</v>
      </c>
      <c r="F23" s="4">
        <v>23.18</v>
      </c>
      <c r="G23" s="4">
        <v>25.34</v>
      </c>
      <c r="H23" s="4">
        <f>ROUND(G23+G23*J7,2)</f>
        <v>32.549999999999997</v>
      </c>
      <c r="I23" s="4">
        <f t="shared" si="0"/>
        <v>587.38</v>
      </c>
      <c r="J23" s="75">
        <v>754.51</v>
      </c>
      <c r="K23" s="18"/>
    </row>
    <row r="24" spans="1:11" ht="34.200000000000003">
      <c r="A24" s="74" t="s">
        <v>54</v>
      </c>
      <c r="B24" s="3" t="s">
        <v>55</v>
      </c>
      <c r="C24" s="2" t="s">
        <v>56</v>
      </c>
      <c r="D24" s="3" t="s">
        <v>38</v>
      </c>
      <c r="E24" s="3" t="s">
        <v>53</v>
      </c>
      <c r="F24" s="4">
        <v>16.86</v>
      </c>
      <c r="G24" s="4">
        <v>108</v>
      </c>
      <c r="H24" s="4">
        <f>ROUND(G24+G24*J7,2)</f>
        <v>138.72</v>
      </c>
      <c r="I24" s="4">
        <f t="shared" si="0"/>
        <v>1820.88</v>
      </c>
      <c r="J24" s="75">
        <v>2338.8200000000002</v>
      </c>
      <c r="K24" s="18"/>
    </row>
    <row r="25" spans="1:11" ht="12" customHeight="1">
      <c r="A25" s="72" t="s">
        <v>57</v>
      </c>
      <c r="B25" s="101" t="s">
        <v>58</v>
      </c>
      <c r="C25" s="102"/>
      <c r="D25" s="102"/>
      <c r="E25" s="102"/>
      <c r="F25" s="102"/>
      <c r="G25" s="102"/>
      <c r="H25" s="102"/>
      <c r="I25" s="6">
        <f>SUM(I26:I30)</f>
        <v>12049.57</v>
      </c>
      <c r="J25" s="73">
        <f>SUM(J26:J30)</f>
        <v>15476.509999999998</v>
      </c>
      <c r="K25" s="18"/>
    </row>
    <row r="26" spans="1:11" ht="34.200000000000003">
      <c r="A26" s="74" t="s">
        <v>59</v>
      </c>
      <c r="B26" s="3" t="s">
        <v>60</v>
      </c>
      <c r="C26" s="2" t="s">
        <v>61</v>
      </c>
      <c r="D26" s="3" t="s">
        <v>16</v>
      </c>
      <c r="E26" s="3" t="s">
        <v>31</v>
      </c>
      <c r="F26" s="4">
        <v>3.08</v>
      </c>
      <c r="G26" s="4">
        <v>453.59</v>
      </c>
      <c r="H26" s="4">
        <f>ROUND(G26+G26*J7,2)</f>
        <v>582.59</v>
      </c>
      <c r="I26" s="4">
        <f>ROUND(F26*G26,2)</f>
        <v>1397.06</v>
      </c>
      <c r="J26" s="75">
        <v>1794.38</v>
      </c>
      <c r="K26" s="18"/>
    </row>
    <row r="27" spans="1:11" ht="52.5" customHeight="1">
      <c r="A27" s="74" t="s">
        <v>367</v>
      </c>
      <c r="B27" s="3" t="s">
        <v>62</v>
      </c>
      <c r="C27" s="2" t="s">
        <v>63</v>
      </c>
      <c r="D27" s="3" t="s">
        <v>38</v>
      </c>
      <c r="E27" s="3" t="s">
        <v>53</v>
      </c>
      <c r="F27" s="4">
        <v>42.59</v>
      </c>
      <c r="G27" s="4">
        <v>27.38</v>
      </c>
      <c r="H27" s="4">
        <f>ROUND(G27+G27*J7,2)</f>
        <v>35.17</v>
      </c>
      <c r="I27" s="4">
        <f t="shared" ref="I27:I30" si="1">ROUND(F27*G27,2)</f>
        <v>1166.1099999999999</v>
      </c>
      <c r="J27" s="75">
        <v>1497.89</v>
      </c>
      <c r="K27" s="18"/>
    </row>
    <row r="28" spans="1:11" ht="34.200000000000003">
      <c r="A28" s="74" t="s">
        <v>368</v>
      </c>
      <c r="B28" s="3" t="s">
        <v>64</v>
      </c>
      <c r="C28" s="2" t="s">
        <v>65</v>
      </c>
      <c r="D28" s="3" t="s">
        <v>16</v>
      </c>
      <c r="E28" s="3" t="s">
        <v>20</v>
      </c>
      <c r="F28" s="4">
        <v>151.76</v>
      </c>
      <c r="G28" s="4">
        <v>29.08</v>
      </c>
      <c r="H28" s="4">
        <f>ROUND(G28+G28*J7,2)</f>
        <v>37.35</v>
      </c>
      <c r="I28" s="4">
        <f t="shared" si="1"/>
        <v>4413.18</v>
      </c>
      <c r="J28" s="75">
        <v>5668.24</v>
      </c>
      <c r="K28" s="18"/>
    </row>
    <row r="29" spans="1:11" ht="22.8">
      <c r="A29" s="74" t="s">
        <v>369</v>
      </c>
      <c r="B29" s="3" t="s">
        <v>66</v>
      </c>
      <c r="C29" s="2" t="s">
        <v>67</v>
      </c>
      <c r="D29" s="3" t="s">
        <v>16</v>
      </c>
      <c r="E29" s="3" t="s">
        <v>20</v>
      </c>
      <c r="F29" s="4">
        <v>57.92</v>
      </c>
      <c r="G29" s="4">
        <v>82.67</v>
      </c>
      <c r="H29" s="4">
        <f>ROUND(G29+G29*J7,2)</f>
        <v>106.18</v>
      </c>
      <c r="I29" s="4">
        <f t="shared" si="1"/>
        <v>4788.25</v>
      </c>
      <c r="J29" s="75">
        <v>6149.95</v>
      </c>
      <c r="K29" s="18"/>
    </row>
    <row r="30" spans="1:11" ht="34.200000000000003">
      <c r="A30" s="74" t="s">
        <v>370</v>
      </c>
      <c r="B30" s="3" t="s">
        <v>68</v>
      </c>
      <c r="C30" s="2" t="s">
        <v>69</v>
      </c>
      <c r="D30" s="3" t="s">
        <v>16</v>
      </c>
      <c r="E30" s="3" t="s">
        <v>20</v>
      </c>
      <c r="F30" s="4">
        <v>57.92</v>
      </c>
      <c r="G30" s="4">
        <v>4.92</v>
      </c>
      <c r="H30" s="4">
        <f>ROUND(G30+G30*J7,2)</f>
        <v>6.32</v>
      </c>
      <c r="I30" s="4">
        <f t="shared" si="1"/>
        <v>284.97000000000003</v>
      </c>
      <c r="J30" s="75">
        <v>366.05</v>
      </c>
      <c r="K30" s="18"/>
    </row>
    <row r="31" spans="1:11" ht="20.100000000000001" customHeight="1">
      <c r="A31" s="72" t="s">
        <v>70</v>
      </c>
      <c r="B31" s="101" t="s">
        <v>71</v>
      </c>
      <c r="C31" s="102"/>
      <c r="D31" s="102"/>
      <c r="E31" s="102"/>
      <c r="F31" s="102"/>
      <c r="G31" s="102"/>
      <c r="H31" s="102"/>
      <c r="I31" s="6">
        <f>SUM(I32:I36)</f>
        <v>14182.710000000001</v>
      </c>
      <c r="J31" s="73">
        <f>SUM(J32:J36)</f>
        <v>18215.96</v>
      </c>
      <c r="K31" s="18"/>
    </row>
    <row r="32" spans="1:11" ht="45.6">
      <c r="A32" s="74" t="s">
        <v>72</v>
      </c>
      <c r="B32" s="3" t="s">
        <v>73</v>
      </c>
      <c r="C32" s="2" t="s">
        <v>74</v>
      </c>
      <c r="D32" s="3" t="s">
        <v>38</v>
      </c>
      <c r="E32" s="3" t="s">
        <v>53</v>
      </c>
      <c r="F32" s="4">
        <v>325.08999999999997</v>
      </c>
      <c r="G32" s="4">
        <v>9.1199999999999992</v>
      </c>
      <c r="H32" s="4">
        <f>ROUND(G32+G32*J7,2)</f>
        <v>11.71</v>
      </c>
      <c r="I32" s="4">
        <f>ROUND(G32*F32,2)</f>
        <v>2964.82</v>
      </c>
      <c r="J32" s="75">
        <v>3806.8</v>
      </c>
      <c r="K32" s="18"/>
    </row>
    <row r="33" spans="1:12" ht="57">
      <c r="A33" s="74" t="s">
        <v>371</v>
      </c>
      <c r="B33" s="3" t="s">
        <v>75</v>
      </c>
      <c r="C33" s="2" t="s">
        <v>76</v>
      </c>
      <c r="D33" s="3" t="s">
        <v>38</v>
      </c>
      <c r="E33" s="3" t="s">
        <v>53</v>
      </c>
      <c r="F33" s="4">
        <v>325.08999999999997</v>
      </c>
      <c r="G33" s="4">
        <v>22.77</v>
      </c>
      <c r="H33" s="4">
        <f>ROUND(G33+G33*J7,2)</f>
        <v>29.25</v>
      </c>
      <c r="I33" s="4">
        <f t="shared" ref="I33:I36" si="2">ROUND(G33*F33,2)</f>
        <v>7402.3</v>
      </c>
      <c r="J33" s="75">
        <v>9508.8799999999992</v>
      </c>
      <c r="K33" s="63"/>
      <c r="L33" s="18"/>
    </row>
    <row r="34" spans="1:12" ht="57">
      <c r="A34" s="74" t="s">
        <v>372</v>
      </c>
      <c r="B34" s="3" t="s">
        <v>77</v>
      </c>
      <c r="C34" s="2" t="s">
        <v>78</v>
      </c>
      <c r="D34" s="3" t="s">
        <v>38</v>
      </c>
      <c r="E34" s="3" t="s">
        <v>53</v>
      </c>
      <c r="F34" s="4">
        <v>54.6</v>
      </c>
      <c r="G34" s="4">
        <v>20.41</v>
      </c>
      <c r="H34" s="4">
        <f>ROUND(G34+G34*J7,2)</f>
        <v>26.21</v>
      </c>
      <c r="I34" s="4">
        <f t="shared" si="2"/>
        <v>1114.3900000000001</v>
      </c>
      <c r="J34" s="75">
        <v>1431.07</v>
      </c>
      <c r="K34" s="18"/>
    </row>
    <row r="35" spans="1:12" ht="34.200000000000003">
      <c r="A35" s="74" t="s">
        <v>373</v>
      </c>
      <c r="B35" s="3" t="s">
        <v>79</v>
      </c>
      <c r="C35" s="2" t="s">
        <v>80</v>
      </c>
      <c r="D35" s="3" t="s">
        <v>16</v>
      </c>
      <c r="E35" s="3" t="s">
        <v>20</v>
      </c>
      <c r="F35" s="4">
        <v>58.5</v>
      </c>
      <c r="G35" s="4">
        <v>42.98</v>
      </c>
      <c r="H35" s="4">
        <f>ROUND(G35+G35*J7,2)</f>
        <v>55.2</v>
      </c>
      <c r="I35" s="4">
        <f t="shared" si="2"/>
        <v>2514.33</v>
      </c>
      <c r="J35" s="75">
        <v>3229.2</v>
      </c>
      <c r="K35" s="18"/>
    </row>
    <row r="36" spans="1:12">
      <c r="A36" s="74" t="s">
        <v>374</v>
      </c>
      <c r="B36" s="3" t="s">
        <v>81</v>
      </c>
      <c r="C36" s="2" t="s">
        <v>82</v>
      </c>
      <c r="D36" s="3" t="s">
        <v>16</v>
      </c>
      <c r="E36" s="3" t="s">
        <v>20</v>
      </c>
      <c r="F36" s="4">
        <v>0.83</v>
      </c>
      <c r="G36" s="4">
        <v>225.14</v>
      </c>
      <c r="H36" s="4">
        <f>ROUND(G36+G36*J7,2)</f>
        <v>289.17</v>
      </c>
      <c r="I36" s="4">
        <f t="shared" si="2"/>
        <v>186.87</v>
      </c>
      <c r="J36" s="75">
        <v>240.01</v>
      </c>
      <c r="K36" s="18"/>
    </row>
    <row r="37" spans="1:12" ht="20.100000000000001" customHeight="1">
      <c r="A37" s="72" t="s">
        <v>83</v>
      </c>
      <c r="B37" s="101" t="s">
        <v>84</v>
      </c>
      <c r="C37" s="102"/>
      <c r="D37" s="102"/>
      <c r="E37" s="102"/>
      <c r="F37" s="102"/>
      <c r="G37" s="102"/>
      <c r="H37" s="102"/>
      <c r="I37" s="6">
        <f>SUM(I38:I42)</f>
        <v>4636.53</v>
      </c>
      <c r="J37" s="73">
        <f>SUM(J38:J42)</f>
        <v>5955.37</v>
      </c>
      <c r="K37" s="18"/>
    </row>
    <row r="38" spans="1:12" ht="22.8">
      <c r="A38" s="74" t="s">
        <v>85</v>
      </c>
      <c r="B38" s="3" t="s">
        <v>86</v>
      </c>
      <c r="C38" s="2" t="s">
        <v>87</v>
      </c>
      <c r="D38" s="3" t="s">
        <v>38</v>
      </c>
      <c r="E38" s="3" t="s">
        <v>39</v>
      </c>
      <c r="F38" s="4">
        <v>2.6</v>
      </c>
      <c r="G38" s="4">
        <v>385.83</v>
      </c>
      <c r="H38" s="4">
        <f>ROUND(G38+G38*J7,2)</f>
        <v>495.56</v>
      </c>
      <c r="I38" s="4">
        <f>ROUND(F38*G38,2)</f>
        <v>1003.16</v>
      </c>
      <c r="J38" s="75">
        <v>1288.46</v>
      </c>
      <c r="K38" s="18"/>
    </row>
    <row r="39" spans="1:12" ht="22.8">
      <c r="A39" s="74" t="s">
        <v>88</v>
      </c>
      <c r="B39" s="3" t="s">
        <v>89</v>
      </c>
      <c r="C39" s="2" t="s">
        <v>90</v>
      </c>
      <c r="D39" s="3" t="s">
        <v>16</v>
      </c>
      <c r="E39" s="3" t="s">
        <v>20</v>
      </c>
      <c r="F39" s="4">
        <v>57.92</v>
      </c>
      <c r="G39" s="4">
        <v>23.1</v>
      </c>
      <c r="H39" s="4">
        <f>ROUND(G39+G39*J7,2)</f>
        <v>29.67</v>
      </c>
      <c r="I39" s="4">
        <f t="shared" ref="I39:I42" si="3">ROUND(F39*G39,2)</f>
        <v>1337.95</v>
      </c>
      <c r="J39" s="75">
        <v>1718.49</v>
      </c>
      <c r="K39" s="18"/>
    </row>
    <row r="40" spans="1:12" ht="34.200000000000003">
      <c r="A40" s="74" t="s">
        <v>91</v>
      </c>
      <c r="B40" s="3" t="s">
        <v>92</v>
      </c>
      <c r="C40" s="2" t="s">
        <v>93</v>
      </c>
      <c r="D40" s="3" t="s">
        <v>38</v>
      </c>
      <c r="E40" s="3" t="s">
        <v>53</v>
      </c>
      <c r="F40" s="4">
        <v>51.02</v>
      </c>
      <c r="G40" s="4">
        <v>37.97</v>
      </c>
      <c r="H40" s="4">
        <f>ROUND(G40+G40*J7,2)</f>
        <v>48.77</v>
      </c>
      <c r="I40" s="4">
        <f t="shared" si="3"/>
        <v>1937.23</v>
      </c>
      <c r="J40" s="75">
        <v>2488.25</v>
      </c>
      <c r="K40" s="18"/>
    </row>
    <row r="41" spans="1:12" ht="34.200000000000003">
      <c r="A41" s="74" t="s">
        <v>94</v>
      </c>
      <c r="B41" s="3" t="s">
        <v>95</v>
      </c>
      <c r="C41" s="2" t="s">
        <v>96</v>
      </c>
      <c r="D41" s="3" t="s">
        <v>38</v>
      </c>
      <c r="E41" s="3" t="s">
        <v>97</v>
      </c>
      <c r="F41" s="4">
        <v>34.25</v>
      </c>
      <c r="G41" s="4">
        <v>4.7</v>
      </c>
      <c r="H41" s="4">
        <f>ROUND(G41+G41*J7,2)</f>
        <v>6.04</v>
      </c>
      <c r="I41" s="4">
        <f t="shared" si="3"/>
        <v>160.97999999999999</v>
      </c>
      <c r="J41" s="75">
        <v>206.87</v>
      </c>
      <c r="K41" s="18"/>
    </row>
    <row r="42" spans="1:12">
      <c r="A42" s="74" t="s">
        <v>98</v>
      </c>
      <c r="B42" s="3" t="s">
        <v>99</v>
      </c>
      <c r="C42" s="2" t="s">
        <v>100</v>
      </c>
      <c r="D42" s="3" t="s">
        <v>16</v>
      </c>
      <c r="E42" s="3" t="s">
        <v>20</v>
      </c>
      <c r="F42" s="4">
        <v>0.87</v>
      </c>
      <c r="G42" s="4">
        <v>226.68</v>
      </c>
      <c r="H42" s="4">
        <f>ROUND(G42+G42*J7,2)</f>
        <v>291.14999999999998</v>
      </c>
      <c r="I42" s="4">
        <f t="shared" si="3"/>
        <v>197.21</v>
      </c>
      <c r="J42" s="75">
        <v>253.3</v>
      </c>
      <c r="K42" s="18"/>
    </row>
    <row r="43" spans="1:12" ht="20.100000000000001" customHeight="1">
      <c r="A43" s="72" t="s">
        <v>101</v>
      </c>
      <c r="B43" s="101" t="s">
        <v>102</v>
      </c>
      <c r="C43" s="102"/>
      <c r="D43" s="102"/>
      <c r="E43" s="102"/>
      <c r="F43" s="102"/>
      <c r="G43" s="102"/>
      <c r="H43" s="102"/>
      <c r="I43" s="6">
        <f>SUM(I44:I46)</f>
        <v>9534.27</v>
      </c>
      <c r="J43" s="73">
        <f>SUM(J44:J46)</f>
        <v>12246.11</v>
      </c>
      <c r="K43" s="18"/>
    </row>
    <row r="44" spans="1:12" ht="45.6">
      <c r="A44" s="74" t="s">
        <v>103</v>
      </c>
      <c r="B44" s="3" t="s">
        <v>104</v>
      </c>
      <c r="C44" s="2" t="s">
        <v>105</v>
      </c>
      <c r="D44" s="3" t="s">
        <v>38</v>
      </c>
      <c r="E44" s="3" t="s">
        <v>53</v>
      </c>
      <c r="F44" s="4">
        <v>62.55</v>
      </c>
      <c r="G44" s="4">
        <v>93.84</v>
      </c>
      <c r="H44" s="4">
        <f>ROUND(G44+G44*J7,2)</f>
        <v>120.53</v>
      </c>
      <c r="I44" s="4">
        <f>ROUND(F44*G44,2)</f>
        <v>5869.69</v>
      </c>
      <c r="J44" s="75">
        <v>7539.15</v>
      </c>
      <c r="K44" s="18"/>
    </row>
    <row r="45" spans="1:12" ht="34.200000000000003">
      <c r="A45" s="74" t="s">
        <v>106</v>
      </c>
      <c r="B45" s="3" t="s">
        <v>107</v>
      </c>
      <c r="C45" s="2" t="s">
        <v>108</v>
      </c>
      <c r="D45" s="3" t="s">
        <v>38</v>
      </c>
      <c r="E45" s="47" t="s">
        <v>378</v>
      </c>
      <c r="F45" s="4">
        <v>62.55</v>
      </c>
      <c r="G45" s="4">
        <v>49.46</v>
      </c>
      <c r="H45" s="4">
        <f>ROUND(G45+G45*J7,2)</f>
        <v>63.53</v>
      </c>
      <c r="I45" s="4">
        <f t="shared" ref="I45:I46" si="4">ROUND(F45*G45,2)</f>
        <v>3093.72</v>
      </c>
      <c r="J45" s="75">
        <v>3973.8</v>
      </c>
      <c r="K45" s="18"/>
    </row>
    <row r="46" spans="1:12" ht="22.8">
      <c r="A46" s="74" t="s">
        <v>109</v>
      </c>
      <c r="B46" s="3" t="s">
        <v>110</v>
      </c>
      <c r="C46" s="2" t="s">
        <v>111</v>
      </c>
      <c r="D46" s="3" t="s">
        <v>16</v>
      </c>
      <c r="E46" s="47" t="s">
        <v>383</v>
      </c>
      <c r="F46" s="4">
        <v>14.3</v>
      </c>
      <c r="G46" s="4">
        <v>39.92</v>
      </c>
      <c r="H46" s="4">
        <f>ROUND(G46+G46*J7,2)</f>
        <v>51.27</v>
      </c>
      <c r="I46" s="4">
        <f t="shared" si="4"/>
        <v>570.86</v>
      </c>
      <c r="J46" s="75">
        <v>733.16</v>
      </c>
      <c r="K46" s="18"/>
    </row>
    <row r="47" spans="1:12" ht="20.100000000000001" customHeight="1">
      <c r="A47" s="72" t="s">
        <v>113</v>
      </c>
      <c r="B47" s="101" t="s">
        <v>114</v>
      </c>
      <c r="C47" s="102"/>
      <c r="D47" s="102"/>
      <c r="E47" s="102"/>
      <c r="F47" s="102"/>
      <c r="G47" s="102"/>
      <c r="H47" s="102"/>
      <c r="I47" s="6">
        <f>SUM(I48:I54)</f>
        <v>5691.98</v>
      </c>
      <c r="J47" s="73">
        <f>SUM(J48:J54)</f>
        <v>7310.7999999999993</v>
      </c>
      <c r="K47" s="18"/>
    </row>
    <row r="48" spans="1:12" ht="22.8">
      <c r="A48" s="74" t="s">
        <v>115</v>
      </c>
      <c r="B48" s="47" t="s">
        <v>375</v>
      </c>
      <c r="C48" s="2" t="s">
        <v>116</v>
      </c>
      <c r="D48" s="3" t="s">
        <v>16</v>
      </c>
      <c r="E48" s="3" t="s">
        <v>17</v>
      </c>
      <c r="F48" s="4">
        <v>4</v>
      </c>
      <c r="G48" s="4">
        <v>351.48</v>
      </c>
      <c r="H48" s="4">
        <f>ROUND(G48+G48*J7,2)</f>
        <v>451.44</v>
      </c>
      <c r="I48" s="4">
        <f>ROUND(F48*G48,2)</f>
        <v>1405.92</v>
      </c>
      <c r="J48" s="75">
        <v>1805.76</v>
      </c>
      <c r="K48" s="18"/>
    </row>
    <row r="49" spans="1:11">
      <c r="A49" s="74" t="s">
        <v>384</v>
      </c>
      <c r="B49" s="47" t="s">
        <v>376</v>
      </c>
      <c r="C49" s="46" t="s">
        <v>377</v>
      </c>
      <c r="D49" s="3" t="s">
        <v>16</v>
      </c>
      <c r="E49" s="47" t="s">
        <v>378</v>
      </c>
      <c r="F49" s="4">
        <v>3.15</v>
      </c>
      <c r="G49" s="4">
        <v>311.32</v>
      </c>
      <c r="H49" s="4">
        <f>ROUND(G49+G49*J7,2)</f>
        <v>399.86</v>
      </c>
      <c r="I49" s="4">
        <f t="shared" ref="I49:I54" si="5">ROUND(F49*G49,2)</f>
        <v>980.66</v>
      </c>
      <c r="J49" s="75">
        <v>1259.56</v>
      </c>
      <c r="K49" s="18"/>
    </row>
    <row r="50" spans="1:11" ht="68.400000000000006">
      <c r="A50" s="74" t="s">
        <v>385</v>
      </c>
      <c r="B50" s="47" t="s">
        <v>544</v>
      </c>
      <c r="C50" s="46" t="s">
        <v>545</v>
      </c>
      <c r="D50" s="3" t="s">
        <v>382</v>
      </c>
      <c r="E50" s="47" t="s">
        <v>378</v>
      </c>
      <c r="F50" s="4">
        <f>F49</f>
        <v>3.15</v>
      </c>
      <c r="G50" s="4">
        <v>108.16</v>
      </c>
      <c r="H50" s="4">
        <f>ROUND(G50+G50*J7,2)</f>
        <v>138.91999999999999</v>
      </c>
      <c r="I50" s="4">
        <f t="shared" si="5"/>
        <v>340.7</v>
      </c>
      <c r="J50" s="75">
        <v>437.6</v>
      </c>
      <c r="K50" s="18"/>
    </row>
    <row r="51" spans="1:11" ht="57">
      <c r="A51" s="74" t="s">
        <v>386</v>
      </c>
      <c r="B51" s="47" t="s">
        <v>379</v>
      </c>
      <c r="C51" s="2" t="s">
        <v>117</v>
      </c>
      <c r="D51" s="47" t="s">
        <v>382</v>
      </c>
      <c r="E51" s="47" t="s">
        <v>378</v>
      </c>
      <c r="F51" s="4">
        <v>2.72</v>
      </c>
      <c r="G51" s="4">
        <v>382.09</v>
      </c>
      <c r="H51" s="4">
        <f>ROUND(G51+G51*J7,2)</f>
        <v>490.76</v>
      </c>
      <c r="I51" s="4">
        <f t="shared" si="5"/>
        <v>1039.28</v>
      </c>
      <c r="J51" s="75">
        <v>1334.87</v>
      </c>
      <c r="K51" s="18"/>
    </row>
    <row r="52" spans="1:11" ht="57">
      <c r="A52" s="74" t="s">
        <v>387</v>
      </c>
      <c r="B52" s="3" t="s">
        <v>380</v>
      </c>
      <c r="C52" s="2" t="s">
        <v>381</v>
      </c>
      <c r="D52" s="3" t="s">
        <v>382</v>
      </c>
      <c r="E52" s="47" t="s">
        <v>378</v>
      </c>
      <c r="F52" s="4">
        <v>2.7</v>
      </c>
      <c r="G52" s="4">
        <v>434.38</v>
      </c>
      <c r="H52" s="4">
        <f>ROUND(G52+G52*J7,2)</f>
        <v>557.91999999999996</v>
      </c>
      <c r="I52" s="4">
        <f t="shared" si="5"/>
        <v>1172.83</v>
      </c>
      <c r="J52" s="75">
        <v>1506.38</v>
      </c>
      <c r="K52" s="18"/>
    </row>
    <row r="53" spans="1:11" ht="22.8">
      <c r="A53" s="74" t="s">
        <v>388</v>
      </c>
      <c r="B53" s="3" t="s">
        <v>118</v>
      </c>
      <c r="C53" s="2" t="s">
        <v>119</v>
      </c>
      <c r="D53" s="3" t="s">
        <v>38</v>
      </c>
      <c r="E53" s="3" t="s">
        <v>97</v>
      </c>
      <c r="F53" s="4">
        <v>7.97</v>
      </c>
      <c r="G53" s="4">
        <v>65.569999999999993</v>
      </c>
      <c r="H53" s="4">
        <f>ROUND(G53+G53*J7,2)</f>
        <v>84.22</v>
      </c>
      <c r="I53" s="4">
        <f t="shared" si="5"/>
        <v>522.59</v>
      </c>
      <c r="J53" s="75">
        <v>671.23</v>
      </c>
      <c r="K53" s="18"/>
    </row>
    <row r="54" spans="1:11" ht="22.8">
      <c r="A54" s="74" t="s">
        <v>546</v>
      </c>
      <c r="B54" s="3" t="s">
        <v>120</v>
      </c>
      <c r="C54" s="2" t="s">
        <v>121</v>
      </c>
      <c r="D54" s="3" t="s">
        <v>38</v>
      </c>
      <c r="E54" s="3" t="s">
        <v>97</v>
      </c>
      <c r="F54" s="4">
        <v>6.35</v>
      </c>
      <c r="G54" s="4">
        <v>36.22</v>
      </c>
      <c r="H54" s="4">
        <f>ROUND(G54+G54*J7,2)</f>
        <v>46.52</v>
      </c>
      <c r="I54" s="4">
        <f t="shared" si="5"/>
        <v>230</v>
      </c>
      <c r="J54" s="75">
        <v>295.39999999999998</v>
      </c>
      <c r="K54" s="18"/>
    </row>
    <row r="55" spans="1:11" ht="20.100000000000001" customHeight="1">
      <c r="A55" s="72" t="s">
        <v>122</v>
      </c>
      <c r="B55" s="101" t="s">
        <v>123</v>
      </c>
      <c r="C55" s="102"/>
      <c r="D55" s="102"/>
      <c r="E55" s="102"/>
      <c r="F55" s="102"/>
      <c r="G55" s="102"/>
      <c r="H55" s="102"/>
      <c r="I55" s="6">
        <f>SUM(I56:I62)</f>
        <v>3632.8099999999995</v>
      </c>
      <c r="J55" s="73">
        <f>SUM(J56:J62)</f>
        <v>4665.6899999999996</v>
      </c>
      <c r="K55" s="18"/>
    </row>
    <row r="56" spans="1:11" ht="34.200000000000003">
      <c r="A56" s="74" t="s">
        <v>124</v>
      </c>
      <c r="B56" s="3" t="s">
        <v>125</v>
      </c>
      <c r="C56" s="2" t="s">
        <v>126</v>
      </c>
      <c r="D56" s="3" t="s">
        <v>16</v>
      </c>
      <c r="E56" s="3" t="s">
        <v>20</v>
      </c>
      <c r="F56" s="4">
        <v>94.65</v>
      </c>
      <c r="G56" s="4">
        <v>3.31</v>
      </c>
      <c r="H56" s="4">
        <f>ROUND(G56+G56*J7,2)</f>
        <v>4.25</v>
      </c>
      <c r="I56" s="4">
        <f>ROUND(F56*G56,2)</f>
        <v>313.29000000000002</v>
      </c>
      <c r="J56" s="75">
        <v>402.26</v>
      </c>
      <c r="K56" s="18"/>
    </row>
    <row r="57" spans="1:11" ht="34.200000000000003">
      <c r="A57" s="74" t="s">
        <v>127</v>
      </c>
      <c r="B57" s="3" t="s">
        <v>128</v>
      </c>
      <c r="C57" s="2" t="s">
        <v>129</v>
      </c>
      <c r="D57" s="3" t="s">
        <v>16</v>
      </c>
      <c r="E57" s="3" t="s">
        <v>20</v>
      </c>
      <c r="F57" s="4">
        <v>94.65</v>
      </c>
      <c r="G57" s="4">
        <v>8.57</v>
      </c>
      <c r="H57" s="4">
        <f>ROUND(G57+G57*J7,2)</f>
        <v>11.01</v>
      </c>
      <c r="I57" s="4">
        <f t="shared" ref="I57:I62" si="6">ROUND(F57*G57,2)</f>
        <v>811.15</v>
      </c>
      <c r="J57" s="76">
        <v>1042.0999999999999</v>
      </c>
      <c r="K57" s="64">
        <v>1042.0999999999999</v>
      </c>
    </row>
    <row r="58" spans="1:11" ht="22.8">
      <c r="A58" s="74" t="s">
        <v>130</v>
      </c>
      <c r="B58" s="3" t="s">
        <v>131</v>
      </c>
      <c r="C58" s="2" t="s">
        <v>132</v>
      </c>
      <c r="D58" s="3" t="s">
        <v>38</v>
      </c>
      <c r="E58" s="3" t="s">
        <v>53</v>
      </c>
      <c r="F58" s="4">
        <v>131.15</v>
      </c>
      <c r="G58" s="4">
        <v>1.94</v>
      </c>
      <c r="H58" s="4">
        <f>ROUND(G58+G58*J7,2)</f>
        <v>2.4900000000000002</v>
      </c>
      <c r="I58" s="4">
        <f t="shared" si="6"/>
        <v>254.43</v>
      </c>
      <c r="J58" s="75">
        <v>326.56</v>
      </c>
      <c r="K58" s="18"/>
    </row>
    <row r="59" spans="1:11" ht="22.8">
      <c r="A59" s="74" t="s">
        <v>133</v>
      </c>
      <c r="B59" s="3" t="s">
        <v>134</v>
      </c>
      <c r="C59" s="2" t="s">
        <v>135</v>
      </c>
      <c r="D59" s="3" t="s">
        <v>38</v>
      </c>
      <c r="E59" s="3" t="s">
        <v>53</v>
      </c>
      <c r="F59" s="4">
        <v>131.15</v>
      </c>
      <c r="G59" s="4">
        <v>9.4499999999999993</v>
      </c>
      <c r="H59" s="4">
        <f>ROUND(G59+G59*J7,2)</f>
        <v>12.14</v>
      </c>
      <c r="I59" s="4">
        <f t="shared" si="6"/>
        <v>1239.3699999999999</v>
      </c>
      <c r="J59" s="75">
        <v>1592.16</v>
      </c>
      <c r="K59" s="18"/>
    </row>
    <row r="60" spans="1:11" ht="22.8">
      <c r="A60" s="74" t="s">
        <v>136</v>
      </c>
      <c r="B60" s="3" t="s">
        <v>137</v>
      </c>
      <c r="C60" s="2" t="s">
        <v>138</v>
      </c>
      <c r="D60" s="3" t="s">
        <v>38</v>
      </c>
      <c r="E60" s="3" t="s">
        <v>53</v>
      </c>
      <c r="F60" s="4">
        <v>51.02</v>
      </c>
      <c r="G60" s="4">
        <v>2.16</v>
      </c>
      <c r="H60" s="4">
        <f>ROUND(G60+G60*J7,2)</f>
        <v>2.77</v>
      </c>
      <c r="I60" s="4">
        <f t="shared" si="6"/>
        <v>110.2</v>
      </c>
      <c r="J60" s="75">
        <v>141.33000000000001</v>
      </c>
      <c r="K60" s="18"/>
    </row>
    <row r="61" spans="1:11" ht="22.8">
      <c r="A61" s="74" t="s">
        <v>139</v>
      </c>
      <c r="B61" s="3" t="s">
        <v>140</v>
      </c>
      <c r="C61" s="2" t="s">
        <v>141</v>
      </c>
      <c r="D61" s="3" t="s">
        <v>38</v>
      </c>
      <c r="E61" s="3" t="s">
        <v>53</v>
      </c>
      <c r="F61" s="4">
        <v>51.02</v>
      </c>
      <c r="G61" s="4">
        <v>10.39</v>
      </c>
      <c r="H61" s="4">
        <f>ROUND(G61+G61*J7,2)</f>
        <v>13.34</v>
      </c>
      <c r="I61" s="4">
        <f t="shared" si="6"/>
        <v>530.1</v>
      </c>
      <c r="J61" s="75">
        <v>680.61</v>
      </c>
      <c r="K61" s="18"/>
    </row>
    <row r="62" spans="1:11" ht="34.200000000000003">
      <c r="A62" s="74" t="s">
        <v>142</v>
      </c>
      <c r="B62" s="3" t="s">
        <v>143</v>
      </c>
      <c r="C62" s="2" t="s">
        <v>144</v>
      </c>
      <c r="D62" s="3" t="s">
        <v>16</v>
      </c>
      <c r="E62" s="3" t="s">
        <v>20</v>
      </c>
      <c r="F62" s="4">
        <v>19.739999999999998</v>
      </c>
      <c r="G62" s="4">
        <v>18.96</v>
      </c>
      <c r="H62" s="4">
        <f>ROUND(G62+G62*J7,2)</f>
        <v>24.35</v>
      </c>
      <c r="I62" s="4">
        <f t="shared" si="6"/>
        <v>374.27</v>
      </c>
      <c r="J62" s="75">
        <v>480.67</v>
      </c>
      <c r="K62" s="18"/>
    </row>
    <row r="63" spans="1:11" ht="20.100000000000001" customHeight="1">
      <c r="A63" s="72" t="s">
        <v>145</v>
      </c>
      <c r="B63" s="101" t="s">
        <v>146</v>
      </c>
      <c r="C63" s="102"/>
      <c r="D63" s="102"/>
      <c r="E63" s="102"/>
      <c r="F63" s="102"/>
      <c r="G63" s="102"/>
      <c r="H63" s="102"/>
      <c r="I63" s="6">
        <f>SUM(I64+I78)</f>
        <v>6152.7</v>
      </c>
      <c r="J63" s="73">
        <f>SUM(J64+J78)</f>
        <v>7883.6</v>
      </c>
      <c r="K63" s="18"/>
    </row>
    <row r="64" spans="1:11" ht="20.100000000000001" customHeight="1">
      <c r="A64" s="77" t="s">
        <v>147</v>
      </c>
      <c r="B64" s="106" t="s">
        <v>148</v>
      </c>
      <c r="C64" s="107"/>
      <c r="D64" s="107"/>
      <c r="E64" s="107"/>
      <c r="F64" s="107"/>
      <c r="G64" s="107"/>
      <c r="H64" s="107"/>
      <c r="I64" s="1">
        <f>SUM(I65+I67+I70+I76)</f>
        <v>5147.46</v>
      </c>
      <c r="J64" s="78">
        <f>SUM(J65+J67+J70+J76)</f>
        <v>6592.52</v>
      </c>
      <c r="K64" s="18"/>
    </row>
    <row r="65" spans="1:11" ht="12.75" customHeight="1">
      <c r="A65" s="77" t="s">
        <v>149</v>
      </c>
      <c r="B65" s="106" t="s">
        <v>150</v>
      </c>
      <c r="C65" s="107"/>
      <c r="D65" s="107"/>
      <c r="E65" s="107"/>
      <c r="F65" s="107"/>
      <c r="G65" s="107"/>
      <c r="H65" s="107"/>
      <c r="I65" s="1">
        <f>SUM(I66)</f>
        <v>715.85</v>
      </c>
      <c r="J65" s="78">
        <f>SUM(J66)</f>
        <v>919.45</v>
      </c>
      <c r="K65" s="18"/>
    </row>
    <row r="66" spans="1:11" ht="68.400000000000006">
      <c r="A66" s="74" t="s">
        <v>151</v>
      </c>
      <c r="B66" s="3" t="s">
        <v>152</v>
      </c>
      <c r="C66" s="2" t="s">
        <v>153</v>
      </c>
      <c r="D66" s="3" t="s">
        <v>16</v>
      </c>
      <c r="E66" s="3" t="s">
        <v>154</v>
      </c>
      <c r="F66" s="4">
        <v>5</v>
      </c>
      <c r="G66" s="4">
        <v>143.16999999999999</v>
      </c>
      <c r="H66" s="4">
        <f>ROUND(G66+G66*J7,2)</f>
        <v>183.89</v>
      </c>
      <c r="I66" s="4">
        <f>ROUND(F66*G66,2)</f>
        <v>715.85</v>
      </c>
      <c r="J66" s="75">
        <v>919.45</v>
      </c>
      <c r="K66" s="18"/>
    </row>
    <row r="67" spans="1:11" ht="20.100000000000001" customHeight="1">
      <c r="A67" s="77" t="s">
        <v>155</v>
      </c>
      <c r="B67" s="106" t="s">
        <v>156</v>
      </c>
      <c r="C67" s="107"/>
      <c r="D67" s="107"/>
      <c r="E67" s="107"/>
      <c r="F67" s="107"/>
      <c r="G67" s="107"/>
      <c r="H67" s="107"/>
      <c r="I67" s="1">
        <f>SUM(I68:I69)</f>
        <v>448.12</v>
      </c>
      <c r="J67" s="78">
        <f>SUM(J68:J69)</f>
        <v>575.55999999999995</v>
      </c>
      <c r="K67" s="18"/>
    </row>
    <row r="68" spans="1:11" ht="34.200000000000003">
      <c r="A68" s="74" t="s">
        <v>157</v>
      </c>
      <c r="B68" s="3" t="s">
        <v>158</v>
      </c>
      <c r="C68" s="2" t="s">
        <v>159</v>
      </c>
      <c r="D68" s="3" t="s">
        <v>16</v>
      </c>
      <c r="E68" s="3" t="s">
        <v>17</v>
      </c>
      <c r="F68" s="4">
        <v>4</v>
      </c>
      <c r="G68" s="4">
        <v>107.13</v>
      </c>
      <c r="H68" s="4">
        <f>ROUND(G68+G68*J7,2)</f>
        <v>137.6</v>
      </c>
      <c r="I68" s="4">
        <f>ROUND(F68*G68,2)</f>
        <v>428.52</v>
      </c>
      <c r="J68" s="75">
        <v>550.4</v>
      </c>
      <c r="K68" s="18"/>
    </row>
    <row r="69" spans="1:11" ht="34.200000000000003">
      <c r="A69" s="74" t="s">
        <v>160</v>
      </c>
      <c r="B69" s="3" t="s">
        <v>161</v>
      </c>
      <c r="C69" s="46" t="s">
        <v>389</v>
      </c>
      <c r="D69" s="3" t="s">
        <v>38</v>
      </c>
      <c r="E69" s="3" t="s">
        <v>162</v>
      </c>
      <c r="F69" s="4">
        <v>4</v>
      </c>
      <c r="G69" s="4">
        <v>4.9000000000000004</v>
      </c>
      <c r="H69" s="4">
        <f>ROUND(G69+G69*J7,2)</f>
        <v>6.29</v>
      </c>
      <c r="I69" s="4">
        <f>ROUND(F69*G69,2)</f>
        <v>19.600000000000001</v>
      </c>
      <c r="J69" s="75">
        <v>25.16</v>
      </c>
      <c r="K69" s="18"/>
    </row>
    <row r="70" spans="1:11" ht="20.100000000000001" customHeight="1">
      <c r="A70" s="77" t="s">
        <v>163</v>
      </c>
      <c r="B70" s="106" t="s">
        <v>164</v>
      </c>
      <c r="C70" s="107"/>
      <c r="D70" s="107"/>
      <c r="E70" s="107"/>
      <c r="F70" s="107"/>
      <c r="G70" s="107"/>
      <c r="H70" s="107"/>
      <c r="I70" s="1">
        <f>SUM(I71:I75)</f>
        <v>1839.09</v>
      </c>
      <c r="J70" s="78">
        <f>SUM(J71:J75)</f>
        <v>2362.11</v>
      </c>
      <c r="K70" s="18"/>
    </row>
    <row r="71" spans="1:11" ht="22.8">
      <c r="A71" s="74" t="s">
        <v>165</v>
      </c>
      <c r="B71" s="3">
        <v>89711</v>
      </c>
      <c r="C71" s="2" t="s">
        <v>390</v>
      </c>
      <c r="D71" s="3" t="s">
        <v>38</v>
      </c>
      <c r="E71" s="3" t="s">
        <v>383</v>
      </c>
      <c r="F71" s="4">
        <v>9</v>
      </c>
      <c r="G71" s="4">
        <v>17.93</v>
      </c>
      <c r="H71" s="4">
        <f>ROUND(G71+G71*J7,2)</f>
        <v>23.03</v>
      </c>
      <c r="I71" s="4">
        <f>ROUND(F71*G71,2)</f>
        <v>161.37</v>
      </c>
      <c r="J71" s="75">
        <v>207.27</v>
      </c>
      <c r="K71" s="18"/>
    </row>
    <row r="72" spans="1:11" ht="22.8">
      <c r="A72" s="74" t="s">
        <v>397</v>
      </c>
      <c r="B72" s="3">
        <v>89714</v>
      </c>
      <c r="C72" s="2" t="s">
        <v>391</v>
      </c>
      <c r="D72" s="3" t="s">
        <v>38</v>
      </c>
      <c r="E72" s="48" t="s">
        <v>383</v>
      </c>
      <c r="F72" s="4">
        <v>15.48</v>
      </c>
      <c r="G72" s="4">
        <v>52.1</v>
      </c>
      <c r="H72" s="4">
        <f>ROUND(G72+G72*J7,2)</f>
        <v>66.92</v>
      </c>
      <c r="I72" s="4">
        <f t="shared" ref="I72:I75" si="7">ROUND(F72*G72,2)</f>
        <v>806.51</v>
      </c>
      <c r="J72" s="75">
        <v>1035.92</v>
      </c>
      <c r="K72" s="18"/>
    </row>
    <row r="73" spans="1:11" ht="22.8">
      <c r="A73" s="74" t="s">
        <v>398</v>
      </c>
      <c r="B73" s="3">
        <v>89712</v>
      </c>
      <c r="C73" s="2" t="s">
        <v>392</v>
      </c>
      <c r="D73" s="3" t="s">
        <v>38</v>
      </c>
      <c r="E73" s="48" t="s">
        <v>383</v>
      </c>
      <c r="F73" s="4">
        <v>24</v>
      </c>
      <c r="G73" s="4">
        <v>27.33</v>
      </c>
      <c r="H73" s="4">
        <f>ROUND(G73+G73*J7,2)</f>
        <v>35.1</v>
      </c>
      <c r="I73" s="4">
        <f t="shared" si="7"/>
        <v>655.92</v>
      </c>
      <c r="J73" s="75">
        <v>842.4</v>
      </c>
      <c r="K73" s="18"/>
    </row>
    <row r="74" spans="1:11" ht="22.8">
      <c r="A74" s="74" t="s">
        <v>399</v>
      </c>
      <c r="B74" s="3">
        <v>89784</v>
      </c>
      <c r="C74" s="2" t="s">
        <v>393</v>
      </c>
      <c r="D74" s="3" t="s">
        <v>38</v>
      </c>
      <c r="E74" s="48" t="s">
        <v>394</v>
      </c>
      <c r="F74" s="4">
        <v>1</v>
      </c>
      <c r="G74" s="4">
        <v>19.21</v>
      </c>
      <c r="H74" s="4">
        <f>ROUND(G74+G74*J7,2)</f>
        <v>24.67</v>
      </c>
      <c r="I74" s="4">
        <f t="shared" si="7"/>
        <v>19.21</v>
      </c>
      <c r="J74" s="75">
        <v>24.67</v>
      </c>
      <c r="K74" s="18"/>
    </row>
    <row r="75" spans="1:11" ht="34.200000000000003">
      <c r="A75" s="74" t="s">
        <v>400</v>
      </c>
      <c r="B75" s="3" t="s">
        <v>395</v>
      </c>
      <c r="C75" s="2" t="s">
        <v>396</v>
      </c>
      <c r="D75" s="3" t="s">
        <v>382</v>
      </c>
      <c r="E75" s="48" t="s">
        <v>394</v>
      </c>
      <c r="F75" s="4">
        <v>3</v>
      </c>
      <c r="G75" s="4">
        <v>65.36</v>
      </c>
      <c r="H75" s="4">
        <f>ROUND(G75+G75*J7,2)</f>
        <v>83.95</v>
      </c>
      <c r="I75" s="4">
        <f t="shared" si="7"/>
        <v>196.08</v>
      </c>
      <c r="J75" s="75">
        <v>251.85</v>
      </c>
      <c r="K75" s="18"/>
    </row>
    <row r="76" spans="1:11" ht="20.100000000000001" customHeight="1">
      <c r="A76" s="77" t="s">
        <v>166</v>
      </c>
      <c r="B76" s="106" t="s">
        <v>167</v>
      </c>
      <c r="C76" s="107"/>
      <c r="D76" s="107"/>
      <c r="E76" s="107"/>
      <c r="F76" s="107"/>
      <c r="G76" s="107"/>
      <c r="H76" s="107"/>
      <c r="I76" s="1">
        <f>SUM(I77)</f>
        <v>2144.4</v>
      </c>
      <c r="J76" s="78">
        <f>SUM(J77)</f>
        <v>2735.4</v>
      </c>
      <c r="K76" s="18"/>
    </row>
    <row r="77" spans="1:11" ht="41.25" customHeight="1">
      <c r="A77" s="74" t="s">
        <v>168</v>
      </c>
      <c r="B77" s="3" t="s">
        <v>169</v>
      </c>
      <c r="C77" s="2" t="s">
        <v>170</v>
      </c>
      <c r="D77" s="3" t="s">
        <v>38</v>
      </c>
      <c r="E77" s="3" t="s">
        <v>162</v>
      </c>
      <c r="F77" s="4">
        <v>1</v>
      </c>
      <c r="G77" s="4">
        <v>2144.4</v>
      </c>
      <c r="H77" s="4">
        <v>2735.4</v>
      </c>
      <c r="I77" s="4">
        <v>2144.4</v>
      </c>
      <c r="J77" s="75">
        <v>2735.4</v>
      </c>
      <c r="K77" s="18"/>
    </row>
    <row r="78" spans="1:11" ht="20.100000000000001" customHeight="1">
      <c r="A78" s="77" t="s">
        <v>171</v>
      </c>
      <c r="B78" s="106" t="s">
        <v>172</v>
      </c>
      <c r="C78" s="107"/>
      <c r="D78" s="107"/>
      <c r="E78" s="107"/>
      <c r="F78" s="107"/>
      <c r="G78" s="107"/>
      <c r="H78" s="107"/>
      <c r="I78" s="1">
        <f>SUM(I79)</f>
        <v>1005.24</v>
      </c>
      <c r="J78" s="78">
        <f>SUM(J79)</f>
        <v>1291.08</v>
      </c>
      <c r="K78" s="18"/>
    </row>
    <row r="79" spans="1:11" ht="14.25" customHeight="1">
      <c r="A79" s="77" t="s">
        <v>173</v>
      </c>
      <c r="B79" s="106" t="s">
        <v>156</v>
      </c>
      <c r="C79" s="107"/>
      <c r="D79" s="107"/>
      <c r="E79" s="107"/>
      <c r="F79" s="107"/>
      <c r="G79" s="107"/>
      <c r="H79" s="107"/>
      <c r="I79" s="1">
        <f>SUM(I80)</f>
        <v>1005.24</v>
      </c>
      <c r="J79" s="78">
        <f>SUM(J80)</f>
        <v>1291.08</v>
      </c>
      <c r="K79" s="18"/>
    </row>
    <row r="80" spans="1:11" ht="22.8">
      <c r="A80" s="74" t="s">
        <v>174</v>
      </c>
      <c r="B80" s="47" t="s">
        <v>402</v>
      </c>
      <c r="C80" s="46" t="s">
        <v>401</v>
      </c>
      <c r="D80" s="3" t="s">
        <v>16</v>
      </c>
      <c r="E80" s="47" t="s">
        <v>383</v>
      </c>
      <c r="F80" s="4">
        <v>12</v>
      </c>
      <c r="G80" s="4">
        <v>83.77</v>
      </c>
      <c r="H80" s="4">
        <f>ROUND(G80+G80*J7,2)</f>
        <v>107.59</v>
      </c>
      <c r="I80" s="4">
        <f>ROUND(F80*G80,2)</f>
        <v>1005.24</v>
      </c>
      <c r="J80" s="79">
        <v>1291.08</v>
      </c>
      <c r="K80" s="18"/>
    </row>
    <row r="81" spans="1:11" ht="20.100000000000001" customHeight="1">
      <c r="A81" s="72" t="s">
        <v>175</v>
      </c>
      <c r="B81" s="101" t="s">
        <v>176</v>
      </c>
      <c r="C81" s="102"/>
      <c r="D81" s="102"/>
      <c r="E81" s="102"/>
      <c r="F81" s="102"/>
      <c r="G81" s="102"/>
      <c r="H81" s="102"/>
      <c r="I81" s="6">
        <f>SUM(I82+I92)</f>
        <v>2499.7799999999997</v>
      </c>
      <c r="J81" s="73">
        <f>SUM(J82+J92)</f>
        <v>3210.77</v>
      </c>
      <c r="K81" s="18"/>
    </row>
    <row r="82" spans="1:11" ht="12.75" customHeight="1">
      <c r="A82" s="77" t="s">
        <v>177</v>
      </c>
      <c r="B82" s="106" t="s">
        <v>178</v>
      </c>
      <c r="C82" s="107"/>
      <c r="D82" s="107"/>
      <c r="E82" s="107"/>
      <c r="F82" s="107"/>
      <c r="G82" s="107"/>
      <c r="H82" s="107"/>
      <c r="I82" s="1">
        <f>SUM(I83+I85+I87+I89)</f>
        <v>406.95</v>
      </c>
      <c r="J82" s="78">
        <f>SUM(J83+J85+J87+J89)</f>
        <v>522.85</v>
      </c>
      <c r="K82" s="18"/>
    </row>
    <row r="83" spans="1:11" ht="16.5" customHeight="1">
      <c r="A83" s="77" t="s">
        <v>179</v>
      </c>
      <c r="B83" s="106" t="s">
        <v>180</v>
      </c>
      <c r="C83" s="107"/>
      <c r="D83" s="107"/>
      <c r="E83" s="107"/>
      <c r="F83" s="107"/>
      <c r="G83" s="107"/>
      <c r="H83" s="107"/>
      <c r="I83" s="1">
        <f>SUM(I84)</f>
        <v>35.08</v>
      </c>
      <c r="J83" s="78">
        <f>SUM(J84)</f>
        <v>45.06</v>
      </c>
      <c r="K83" s="18"/>
    </row>
    <row r="84" spans="1:11" ht="22.8">
      <c r="A84" s="74" t="s">
        <v>181</v>
      </c>
      <c r="B84" s="3" t="s">
        <v>182</v>
      </c>
      <c r="C84" s="2" t="s">
        <v>183</v>
      </c>
      <c r="D84" s="3" t="s">
        <v>38</v>
      </c>
      <c r="E84" s="3" t="s">
        <v>162</v>
      </c>
      <c r="F84" s="4">
        <v>2</v>
      </c>
      <c r="G84" s="4">
        <v>17.54</v>
      </c>
      <c r="H84" s="4">
        <f>ROUND(G84+G84*J7,2)</f>
        <v>22.53</v>
      </c>
      <c r="I84" s="4">
        <f>ROUND(F84*G84,2)</f>
        <v>35.08</v>
      </c>
      <c r="J84" s="75">
        <v>45.06</v>
      </c>
      <c r="K84" s="18"/>
    </row>
    <row r="85" spans="1:11" ht="20.100000000000001" customHeight="1">
      <c r="A85" s="77" t="s">
        <v>184</v>
      </c>
      <c r="B85" s="106" t="s">
        <v>185</v>
      </c>
      <c r="C85" s="107"/>
      <c r="D85" s="107"/>
      <c r="E85" s="107"/>
      <c r="F85" s="107"/>
      <c r="G85" s="107"/>
      <c r="H85" s="107"/>
      <c r="I85" s="1">
        <f>SUM(I86:I86)</f>
        <v>35.36</v>
      </c>
      <c r="J85" s="78">
        <f>SUM(J86:J86)</f>
        <v>45.42</v>
      </c>
      <c r="K85" s="18"/>
    </row>
    <row r="86" spans="1:11" ht="34.200000000000003">
      <c r="A86" s="80" t="s">
        <v>547</v>
      </c>
      <c r="B86" s="3" t="s">
        <v>187</v>
      </c>
      <c r="C86" s="2" t="s">
        <v>188</v>
      </c>
      <c r="D86" s="3" t="s">
        <v>38</v>
      </c>
      <c r="E86" s="3" t="s">
        <v>162</v>
      </c>
      <c r="F86" s="4">
        <v>1</v>
      </c>
      <c r="G86" s="4">
        <v>35.36</v>
      </c>
      <c r="H86" s="4">
        <f>ROUND(G86+G86*J7,2)</f>
        <v>45.42</v>
      </c>
      <c r="I86" s="4">
        <f t="shared" ref="I86" si="8">ROUND(F86*G86,2)</f>
        <v>35.36</v>
      </c>
      <c r="J86" s="79">
        <v>45.42</v>
      </c>
      <c r="K86" s="18"/>
    </row>
    <row r="87" spans="1:11" ht="14.25" customHeight="1">
      <c r="A87" s="81" t="s">
        <v>430</v>
      </c>
      <c r="B87" s="106" t="s">
        <v>189</v>
      </c>
      <c r="C87" s="107"/>
      <c r="D87" s="107"/>
      <c r="E87" s="107"/>
      <c r="F87" s="107"/>
      <c r="G87" s="107"/>
      <c r="H87" s="107"/>
      <c r="I87" s="1">
        <f>SUM(I88)</f>
        <v>12.43</v>
      </c>
      <c r="J87" s="78">
        <f>SUM(J88)</f>
        <v>15.97</v>
      </c>
      <c r="K87" s="18"/>
    </row>
    <row r="88" spans="1:11" ht="34.200000000000003">
      <c r="A88" s="80" t="s">
        <v>431</v>
      </c>
      <c r="B88" s="3" t="s">
        <v>190</v>
      </c>
      <c r="C88" s="2" t="s">
        <v>191</v>
      </c>
      <c r="D88" s="3" t="s">
        <v>16</v>
      </c>
      <c r="E88" s="47" t="s">
        <v>383</v>
      </c>
      <c r="F88" s="4">
        <v>1</v>
      </c>
      <c r="G88" s="4">
        <v>12.43</v>
      </c>
      <c r="H88" s="4">
        <f>ROUND(G88+G88*J7,2)</f>
        <v>15.97</v>
      </c>
      <c r="I88" s="4">
        <f>ROUND(F88*G88,2)</f>
        <v>12.43</v>
      </c>
      <c r="J88" s="75">
        <v>15.97</v>
      </c>
      <c r="K88" s="18"/>
    </row>
    <row r="89" spans="1:11" ht="20.100000000000001" customHeight="1">
      <c r="A89" s="81" t="s">
        <v>432</v>
      </c>
      <c r="B89" s="106" t="s">
        <v>192</v>
      </c>
      <c r="C89" s="107"/>
      <c r="D89" s="107"/>
      <c r="E89" s="107"/>
      <c r="F89" s="107"/>
      <c r="G89" s="107"/>
      <c r="H89" s="107"/>
      <c r="I89" s="1">
        <f>SUM(I90:I91)</f>
        <v>324.08</v>
      </c>
      <c r="J89" s="78">
        <f>SUM(J90:J91)</f>
        <v>416.40000000000003</v>
      </c>
      <c r="K89" s="18"/>
    </row>
    <row r="90" spans="1:11" ht="44.25" customHeight="1">
      <c r="A90" s="80" t="s">
        <v>433</v>
      </c>
      <c r="B90" s="3" t="s">
        <v>193</v>
      </c>
      <c r="C90" s="2" t="s">
        <v>194</v>
      </c>
      <c r="D90" s="3" t="s">
        <v>38</v>
      </c>
      <c r="E90" s="3" t="s">
        <v>162</v>
      </c>
      <c r="F90" s="4">
        <v>1</v>
      </c>
      <c r="G90" s="4">
        <v>16.579999999999998</v>
      </c>
      <c r="H90" s="4">
        <f>ROUND(G90+G90*J7,2)</f>
        <v>21.3</v>
      </c>
      <c r="I90" s="4">
        <f>ROUND(F90*G90,2)</f>
        <v>16.579999999999998</v>
      </c>
      <c r="J90" s="75">
        <v>21.3</v>
      </c>
      <c r="K90" s="18"/>
    </row>
    <row r="91" spans="1:11" ht="34.200000000000003">
      <c r="A91" s="80" t="s">
        <v>434</v>
      </c>
      <c r="B91" s="3" t="s">
        <v>195</v>
      </c>
      <c r="C91" s="2" t="s">
        <v>196</v>
      </c>
      <c r="D91" s="3" t="s">
        <v>16</v>
      </c>
      <c r="E91" s="47" t="s">
        <v>383</v>
      </c>
      <c r="F91" s="4">
        <v>30</v>
      </c>
      <c r="G91" s="4">
        <v>10.25</v>
      </c>
      <c r="H91" s="4">
        <f>ROUND(G91+G91*J7,2)</f>
        <v>13.17</v>
      </c>
      <c r="I91" s="4">
        <f>ROUND(F91*G91,2)</f>
        <v>307.5</v>
      </c>
      <c r="J91" s="75">
        <v>395.1</v>
      </c>
      <c r="K91" s="18"/>
    </row>
    <row r="92" spans="1:11" ht="20.100000000000001" customHeight="1">
      <c r="A92" s="77" t="s">
        <v>197</v>
      </c>
      <c r="B92" s="106" t="s">
        <v>198</v>
      </c>
      <c r="C92" s="107"/>
      <c r="D92" s="107"/>
      <c r="E92" s="107"/>
      <c r="F92" s="107"/>
      <c r="G92" s="107"/>
      <c r="H92" s="107"/>
      <c r="I92" s="1">
        <f>SUM(I93+I96+I100+I104+I108+I111)</f>
        <v>2092.83</v>
      </c>
      <c r="J92" s="78">
        <f>SUM(J93+J96+J100+J104+J108+J111)</f>
        <v>2687.92</v>
      </c>
      <c r="K92" s="18"/>
    </row>
    <row r="93" spans="1:11" ht="12.75" customHeight="1">
      <c r="A93" s="77" t="s">
        <v>199</v>
      </c>
      <c r="B93" s="106" t="s">
        <v>180</v>
      </c>
      <c r="C93" s="107"/>
      <c r="D93" s="107"/>
      <c r="E93" s="107"/>
      <c r="F93" s="107"/>
      <c r="G93" s="107"/>
      <c r="H93" s="107"/>
      <c r="I93" s="1">
        <f>SUM(I94:I95)</f>
        <v>525.66</v>
      </c>
      <c r="J93" s="78">
        <f>SUM(J94:J95)</f>
        <v>675.16000000000008</v>
      </c>
      <c r="K93" s="18"/>
    </row>
    <row r="94" spans="1:11" ht="34.200000000000003">
      <c r="A94" s="74" t="s">
        <v>200</v>
      </c>
      <c r="B94" s="3" t="s">
        <v>201</v>
      </c>
      <c r="C94" s="2" t="s">
        <v>202</v>
      </c>
      <c r="D94" s="3" t="s">
        <v>38</v>
      </c>
      <c r="E94" s="3" t="s">
        <v>162</v>
      </c>
      <c r="F94" s="4">
        <v>2</v>
      </c>
      <c r="G94" s="4">
        <v>57.45</v>
      </c>
      <c r="H94" s="4">
        <f>ROUND(G94+G94*J7,2)</f>
        <v>73.790000000000006</v>
      </c>
      <c r="I94" s="4">
        <f>ROUND(F94*G94,2)</f>
        <v>114.9</v>
      </c>
      <c r="J94" s="75">
        <v>147.58000000000001</v>
      </c>
      <c r="K94" s="18"/>
    </row>
    <row r="95" spans="1:11" ht="45.6">
      <c r="A95" s="74" t="s">
        <v>203</v>
      </c>
      <c r="B95" s="3" t="s">
        <v>204</v>
      </c>
      <c r="C95" s="2" t="s">
        <v>205</v>
      </c>
      <c r="D95" s="3" t="s">
        <v>38</v>
      </c>
      <c r="E95" s="3" t="s">
        <v>162</v>
      </c>
      <c r="F95" s="4">
        <v>2</v>
      </c>
      <c r="G95" s="4">
        <v>205.38</v>
      </c>
      <c r="H95" s="4">
        <f>ROUND(G95+G95*J7,2)</f>
        <v>263.79000000000002</v>
      </c>
      <c r="I95" s="4">
        <f>ROUND(F95*G95,2)</f>
        <v>410.76</v>
      </c>
      <c r="J95" s="75">
        <v>527.58000000000004</v>
      </c>
      <c r="K95" s="18"/>
    </row>
    <row r="96" spans="1:11" ht="12.75" customHeight="1">
      <c r="A96" s="77" t="s">
        <v>206</v>
      </c>
      <c r="B96" s="106" t="s">
        <v>185</v>
      </c>
      <c r="C96" s="107"/>
      <c r="D96" s="107"/>
      <c r="E96" s="107"/>
      <c r="F96" s="107"/>
      <c r="G96" s="107"/>
      <c r="H96" s="107"/>
      <c r="I96" s="1">
        <f>SUM(I97:I99)</f>
        <v>627.23</v>
      </c>
      <c r="J96" s="78">
        <f>SUM(J97:J99)</f>
        <v>805.6</v>
      </c>
      <c r="K96" s="18"/>
    </row>
    <row r="97" spans="1:11" ht="34.200000000000003">
      <c r="A97" s="74" t="s">
        <v>207</v>
      </c>
      <c r="B97" s="3" t="s">
        <v>208</v>
      </c>
      <c r="C97" s="2" t="s">
        <v>209</v>
      </c>
      <c r="D97" s="3" t="s">
        <v>16</v>
      </c>
      <c r="E97" s="3" t="s">
        <v>154</v>
      </c>
      <c r="F97" s="4">
        <v>2</v>
      </c>
      <c r="G97" s="4">
        <v>32.36</v>
      </c>
      <c r="H97" s="4">
        <f>ROUND(G97+G97*J7,2)</f>
        <v>41.56</v>
      </c>
      <c r="I97" s="4">
        <f>ROUND(F97*G97,2)</f>
        <v>64.72</v>
      </c>
      <c r="J97" s="75">
        <v>83.12</v>
      </c>
      <c r="K97" s="18"/>
    </row>
    <row r="98" spans="1:11" ht="34.200000000000003">
      <c r="A98" s="74" t="s">
        <v>210</v>
      </c>
      <c r="B98" s="3" t="s">
        <v>211</v>
      </c>
      <c r="C98" s="2" t="s">
        <v>212</v>
      </c>
      <c r="D98" s="3" t="s">
        <v>38</v>
      </c>
      <c r="E98" s="3" t="s">
        <v>162</v>
      </c>
      <c r="F98" s="4">
        <v>1</v>
      </c>
      <c r="G98" s="4">
        <v>76.41</v>
      </c>
      <c r="H98" s="4">
        <f>ROUND(G98+G98*J7,2)</f>
        <v>98.14</v>
      </c>
      <c r="I98" s="4">
        <f t="shared" ref="I98:I99" si="9">ROUND(F98*G98,2)</f>
        <v>76.41</v>
      </c>
      <c r="J98" s="75">
        <v>98.14</v>
      </c>
      <c r="K98" s="18"/>
    </row>
    <row r="99" spans="1:11" ht="34.200000000000003">
      <c r="A99" s="74" t="s">
        <v>213</v>
      </c>
      <c r="B99" s="3" t="s">
        <v>214</v>
      </c>
      <c r="C99" s="2" t="s">
        <v>215</v>
      </c>
      <c r="D99" s="3" t="s">
        <v>38</v>
      </c>
      <c r="E99" s="3" t="s">
        <v>162</v>
      </c>
      <c r="F99" s="4">
        <v>2</v>
      </c>
      <c r="G99" s="4">
        <v>243.05</v>
      </c>
      <c r="H99" s="4">
        <f>ROUND(G99+G99*J7,2)</f>
        <v>312.17</v>
      </c>
      <c r="I99" s="4">
        <f t="shared" si="9"/>
        <v>486.1</v>
      </c>
      <c r="J99" s="75">
        <v>624.34</v>
      </c>
      <c r="K99" s="18"/>
    </row>
    <row r="100" spans="1:11" ht="13.5" customHeight="1">
      <c r="A100" s="77" t="s">
        <v>216</v>
      </c>
      <c r="B100" s="106" t="s">
        <v>217</v>
      </c>
      <c r="C100" s="107"/>
      <c r="D100" s="107"/>
      <c r="E100" s="107"/>
      <c r="F100" s="107"/>
      <c r="G100" s="107"/>
      <c r="H100" s="107"/>
      <c r="I100" s="1">
        <f>SUM(I101:I103)</f>
        <v>60.05</v>
      </c>
      <c r="J100" s="78">
        <f>SUM(J101:J103)</f>
        <v>77.13</v>
      </c>
      <c r="K100" s="18"/>
    </row>
    <row r="101" spans="1:11" ht="22.8">
      <c r="A101" s="74" t="s">
        <v>218</v>
      </c>
      <c r="B101" s="3" t="s">
        <v>219</v>
      </c>
      <c r="C101" s="2" t="s">
        <v>220</v>
      </c>
      <c r="D101" s="3" t="s">
        <v>16</v>
      </c>
      <c r="E101" s="3" t="s">
        <v>17</v>
      </c>
      <c r="F101" s="4">
        <v>2</v>
      </c>
      <c r="G101" s="4">
        <v>2.2799999999999998</v>
      </c>
      <c r="H101" s="4">
        <f>ROUND(G101+G101*J7,2)</f>
        <v>2.93</v>
      </c>
      <c r="I101" s="4">
        <f>ROUND(F101*G101,2)</f>
        <v>4.5599999999999996</v>
      </c>
      <c r="J101" s="75">
        <v>5.86</v>
      </c>
      <c r="K101" s="18"/>
    </row>
    <row r="102" spans="1:11" ht="22.8">
      <c r="A102" s="74" t="s">
        <v>221</v>
      </c>
      <c r="B102" s="3" t="s">
        <v>222</v>
      </c>
      <c r="C102" s="2" t="s">
        <v>223</v>
      </c>
      <c r="D102" s="3" t="s">
        <v>38</v>
      </c>
      <c r="E102" s="3" t="s">
        <v>162</v>
      </c>
      <c r="F102" s="4">
        <v>3</v>
      </c>
      <c r="G102" s="4">
        <v>6.05</v>
      </c>
      <c r="H102" s="4">
        <f>ROUND(G102+G102*J7,2)</f>
        <v>7.77</v>
      </c>
      <c r="I102" s="4">
        <f t="shared" ref="I102:I103" si="10">ROUND(F102*G102,2)</f>
        <v>18.149999999999999</v>
      </c>
      <c r="J102" s="75">
        <v>23.31</v>
      </c>
      <c r="K102" s="18"/>
    </row>
    <row r="103" spans="1:11" ht="22.8">
      <c r="A103" s="74" t="s">
        <v>224</v>
      </c>
      <c r="B103" s="3" t="s">
        <v>225</v>
      </c>
      <c r="C103" s="2" t="s">
        <v>226</v>
      </c>
      <c r="D103" s="3" t="s">
        <v>38</v>
      </c>
      <c r="E103" s="3" t="s">
        <v>162</v>
      </c>
      <c r="F103" s="4">
        <v>2</v>
      </c>
      <c r="G103" s="4">
        <v>18.670000000000002</v>
      </c>
      <c r="H103" s="4">
        <f>ROUND(G103+G103*J7,2)</f>
        <v>23.98</v>
      </c>
      <c r="I103" s="4">
        <f t="shared" si="10"/>
        <v>37.340000000000003</v>
      </c>
      <c r="J103" s="75">
        <v>47.96</v>
      </c>
      <c r="K103" s="18"/>
    </row>
    <row r="104" spans="1:11" ht="20.100000000000001" customHeight="1">
      <c r="A104" s="77" t="s">
        <v>227</v>
      </c>
      <c r="B104" s="106" t="s">
        <v>192</v>
      </c>
      <c r="C104" s="107"/>
      <c r="D104" s="107"/>
      <c r="E104" s="107"/>
      <c r="F104" s="107"/>
      <c r="G104" s="107"/>
      <c r="H104" s="107"/>
      <c r="I104" s="1">
        <f>SUM(I105:I107)</f>
        <v>377.08</v>
      </c>
      <c r="J104" s="78">
        <f>SUM(J105:J107)</f>
        <v>484.25</v>
      </c>
      <c r="K104" s="18"/>
    </row>
    <row r="105" spans="1:11" ht="34.200000000000003">
      <c r="A105" s="74" t="s">
        <v>228</v>
      </c>
      <c r="B105" s="3" t="s">
        <v>229</v>
      </c>
      <c r="C105" s="2" t="s">
        <v>230</v>
      </c>
      <c r="D105" s="3" t="s">
        <v>38</v>
      </c>
      <c r="E105" s="3" t="s">
        <v>97</v>
      </c>
      <c r="F105" s="4">
        <v>5.6</v>
      </c>
      <c r="G105" s="4">
        <v>5.98</v>
      </c>
      <c r="H105" s="4">
        <f>ROUND(G105+G105*J7,2)</f>
        <v>7.68</v>
      </c>
      <c r="I105" s="4">
        <f>ROUND(F105*G105,2)</f>
        <v>33.49</v>
      </c>
      <c r="J105" s="75">
        <v>43.01</v>
      </c>
      <c r="K105" s="18"/>
    </row>
    <row r="106" spans="1:11" ht="34.200000000000003">
      <c r="A106" s="74" t="s">
        <v>231</v>
      </c>
      <c r="B106" s="3" t="s">
        <v>232</v>
      </c>
      <c r="C106" s="2" t="s">
        <v>233</v>
      </c>
      <c r="D106" s="3" t="s">
        <v>16</v>
      </c>
      <c r="E106" s="47" t="s">
        <v>383</v>
      </c>
      <c r="F106" s="4">
        <v>4.47</v>
      </c>
      <c r="G106" s="4">
        <v>17.170000000000002</v>
      </c>
      <c r="H106" s="4">
        <f>ROUND(G106+G106*J7,2)</f>
        <v>22.05</v>
      </c>
      <c r="I106" s="4">
        <f t="shared" ref="I106:I107" si="11">ROUND(F106*G106,2)</f>
        <v>76.75</v>
      </c>
      <c r="J106" s="75">
        <v>98.56</v>
      </c>
      <c r="K106" s="18"/>
    </row>
    <row r="107" spans="1:11" ht="34.200000000000003">
      <c r="A107" s="74" t="s">
        <v>234</v>
      </c>
      <c r="B107" s="3" t="s">
        <v>235</v>
      </c>
      <c r="C107" s="2" t="s">
        <v>236</v>
      </c>
      <c r="D107" s="3" t="s">
        <v>16</v>
      </c>
      <c r="E107" s="47" t="s">
        <v>383</v>
      </c>
      <c r="F107" s="4">
        <v>11.04</v>
      </c>
      <c r="G107" s="4">
        <v>24.17</v>
      </c>
      <c r="H107" s="4">
        <f>ROUND(G107+G107*J7,2)</f>
        <v>31.04</v>
      </c>
      <c r="I107" s="4">
        <f t="shared" si="11"/>
        <v>266.83999999999997</v>
      </c>
      <c r="J107" s="75">
        <v>342.68</v>
      </c>
      <c r="K107" s="18"/>
    </row>
    <row r="108" spans="1:11" ht="20.100000000000001" customHeight="1">
      <c r="A108" s="77" t="s">
        <v>237</v>
      </c>
      <c r="B108" s="106" t="s">
        <v>238</v>
      </c>
      <c r="C108" s="107"/>
      <c r="D108" s="107"/>
      <c r="E108" s="107"/>
      <c r="F108" s="107"/>
      <c r="G108" s="107"/>
      <c r="H108" s="107"/>
      <c r="I108" s="1">
        <f>SUM(I109:I110)</f>
        <v>68.91</v>
      </c>
      <c r="J108" s="78">
        <f>SUM(J109:J110)</f>
        <v>88.48</v>
      </c>
      <c r="K108" s="18"/>
    </row>
    <row r="109" spans="1:11" ht="22.8">
      <c r="A109" s="74" t="s">
        <v>239</v>
      </c>
      <c r="B109" s="3" t="s">
        <v>240</v>
      </c>
      <c r="C109" s="2" t="s">
        <v>241</v>
      </c>
      <c r="D109" s="3" t="s">
        <v>16</v>
      </c>
      <c r="E109" s="3" t="s">
        <v>154</v>
      </c>
      <c r="F109" s="4">
        <v>5</v>
      </c>
      <c r="G109" s="4">
        <v>3.99</v>
      </c>
      <c r="H109" s="4">
        <f>ROUND(G109+G109*J7,2)</f>
        <v>5.12</v>
      </c>
      <c r="I109" s="4">
        <f>ROUND(F109*G109,2)</f>
        <v>19.95</v>
      </c>
      <c r="J109" s="75">
        <v>25.6</v>
      </c>
      <c r="K109" s="18"/>
    </row>
    <row r="110" spans="1:11" ht="34.200000000000003">
      <c r="A110" s="74" t="s">
        <v>242</v>
      </c>
      <c r="B110" s="3" t="s">
        <v>243</v>
      </c>
      <c r="C110" s="2" t="s">
        <v>244</v>
      </c>
      <c r="D110" s="3" t="s">
        <v>38</v>
      </c>
      <c r="E110" s="3" t="s">
        <v>162</v>
      </c>
      <c r="F110" s="4">
        <v>4</v>
      </c>
      <c r="G110" s="4">
        <v>12.24</v>
      </c>
      <c r="H110" s="4">
        <f>ROUND(G110+G110*J7,2)</f>
        <v>15.72</v>
      </c>
      <c r="I110" s="4">
        <f>ROUND(F110*G110,2)</f>
        <v>48.96</v>
      </c>
      <c r="J110" s="75">
        <v>62.88</v>
      </c>
      <c r="K110" s="18"/>
    </row>
    <row r="111" spans="1:11" ht="15.75" customHeight="1">
      <c r="A111" s="77" t="s">
        <v>245</v>
      </c>
      <c r="B111" s="106" t="s">
        <v>246</v>
      </c>
      <c r="C111" s="107"/>
      <c r="D111" s="107"/>
      <c r="E111" s="107"/>
      <c r="F111" s="107"/>
      <c r="G111" s="107"/>
      <c r="H111" s="107"/>
      <c r="I111" s="1">
        <f>SUM(I112)</f>
        <v>433.9</v>
      </c>
      <c r="J111" s="78">
        <f>SUM(J112)</f>
        <v>557.29999999999995</v>
      </c>
      <c r="K111" s="18"/>
    </row>
    <row r="112" spans="1:11">
      <c r="A112" s="74" t="s">
        <v>247</v>
      </c>
      <c r="B112" s="3" t="s">
        <v>248</v>
      </c>
      <c r="C112" s="2" t="s">
        <v>249</v>
      </c>
      <c r="D112" s="3" t="s">
        <v>38</v>
      </c>
      <c r="E112" s="3" t="s">
        <v>162</v>
      </c>
      <c r="F112" s="4">
        <v>1</v>
      </c>
      <c r="G112" s="4">
        <v>433.9</v>
      </c>
      <c r="H112" s="4">
        <f>ROUND(G112+G112*J7,2)</f>
        <v>557.29999999999995</v>
      </c>
      <c r="I112" s="4">
        <f>ROUND(F112*G112,2)</f>
        <v>433.9</v>
      </c>
      <c r="J112" s="75">
        <v>557.29999999999995</v>
      </c>
      <c r="K112" s="18"/>
    </row>
    <row r="113" spans="1:11" ht="20.100000000000001" customHeight="1">
      <c r="A113" s="72" t="s">
        <v>250</v>
      </c>
      <c r="B113" s="101" t="s">
        <v>251</v>
      </c>
      <c r="C113" s="102"/>
      <c r="D113" s="102"/>
      <c r="E113" s="102"/>
      <c r="F113" s="102"/>
      <c r="G113" s="102"/>
      <c r="H113" s="102"/>
      <c r="I113" s="6">
        <f>SUM(I114+I118+I123+I128+I130+I132+I138+I143+I145)</f>
        <v>5645.4699999999993</v>
      </c>
      <c r="J113" s="73">
        <f>SUM(J114+J118+J123+J128+J130+J132+J138+J143+J145)</f>
        <v>7249.9800000000005</v>
      </c>
      <c r="K113" s="18"/>
    </row>
    <row r="114" spans="1:11" ht="12.75" customHeight="1">
      <c r="A114" s="81" t="s">
        <v>435</v>
      </c>
      <c r="B114" s="106" t="s">
        <v>252</v>
      </c>
      <c r="C114" s="107"/>
      <c r="D114" s="107"/>
      <c r="E114" s="107"/>
      <c r="F114" s="107"/>
      <c r="G114" s="107"/>
      <c r="H114" s="107"/>
      <c r="I114" s="1">
        <f>SUM(I115:I117)</f>
        <v>1605.07</v>
      </c>
      <c r="J114" s="78">
        <f>SUM(J115:J117)</f>
        <v>2060.88</v>
      </c>
      <c r="K114" s="18"/>
    </row>
    <row r="115" spans="1:11" ht="34.200000000000003">
      <c r="A115" s="80" t="s">
        <v>436</v>
      </c>
      <c r="B115" s="3">
        <v>91926</v>
      </c>
      <c r="C115" s="2" t="s">
        <v>253</v>
      </c>
      <c r="D115" s="3" t="s">
        <v>38</v>
      </c>
      <c r="E115" s="3" t="s">
        <v>97</v>
      </c>
      <c r="F115" s="4">
        <v>134.07</v>
      </c>
      <c r="G115" s="4">
        <v>3.1</v>
      </c>
      <c r="H115" s="4">
        <f>ROUND(G115+G115*J7,2)</f>
        <v>3.98</v>
      </c>
      <c r="I115" s="4">
        <f>ROUND(F115*G115,2)</f>
        <v>415.62</v>
      </c>
      <c r="J115" s="75">
        <v>533.6</v>
      </c>
      <c r="K115" s="18"/>
    </row>
    <row r="116" spans="1:11" ht="34.200000000000003">
      <c r="A116" s="80" t="s">
        <v>437</v>
      </c>
      <c r="B116" s="3" t="s">
        <v>254</v>
      </c>
      <c r="C116" s="2" t="s">
        <v>255</v>
      </c>
      <c r="D116" s="3" t="s">
        <v>38</v>
      </c>
      <c r="E116" s="3" t="s">
        <v>97</v>
      </c>
      <c r="F116" s="4">
        <v>200.7</v>
      </c>
      <c r="G116" s="4">
        <v>5.21</v>
      </c>
      <c r="H116" s="4">
        <f>ROUND(G116+G116*J7,2)</f>
        <v>6.69</v>
      </c>
      <c r="I116" s="4">
        <f t="shared" ref="I116:I117" si="12">ROUND(F116*G116,2)</f>
        <v>1045.6500000000001</v>
      </c>
      <c r="J116" s="75">
        <v>1342.68</v>
      </c>
      <c r="K116" s="18"/>
    </row>
    <row r="117" spans="1:11" ht="34.200000000000003">
      <c r="A117" s="80" t="s">
        <v>438</v>
      </c>
      <c r="B117" s="3" t="s">
        <v>256</v>
      </c>
      <c r="C117" s="2" t="s">
        <v>257</v>
      </c>
      <c r="D117" s="3" t="s">
        <v>38</v>
      </c>
      <c r="E117" s="3" t="s">
        <v>97</v>
      </c>
      <c r="F117" s="4">
        <v>20</v>
      </c>
      <c r="G117" s="4">
        <v>7.19</v>
      </c>
      <c r="H117" s="4">
        <f>ROUND(G117+G117*J7,2)</f>
        <v>9.23</v>
      </c>
      <c r="I117" s="4">
        <f t="shared" si="12"/>
        <v>143.80000000000001</v>
      </c>
      <c r="J117" s="75">
        <v>184.6</v>
      </c>
      <c r="K117" s="18"/>
    </row>
    <row r="118" spans="1:11" ht="12.75" customHeight="1">
      <c r="A118" s="81" t="s">
        <v>439</v>
      </c>
      <c r="B118" s="106" t="s">
        <v>258</v>
      </c>
      <c r="C118" s="107"/>
      <c r="D118" s="107"/>
      <c r="E118" s="107"/>
      <c r="F118" s="107"/>
      <c r="G118" s="107"/>
      <c r="H118" s="107"/>
      <c r="I118" s="1">
        <f>SUM(I119:I122)</f>
        <v>344.19</v>
      </c>
      <c r="J118" s="78">
        <f>SUM(J119:J122)</f>
        <v>442.1</v>
      </c>
      <c r="K118" s="18"/>
    </row>
    <row r="119" spans="1:11" ht="34.200000000000003">
      <c r="A119" s="80" t="s">
        <v>440</v>
      </c>
      <c r="B119" s="3" t="s">
        <v>259</v>
      </c>
      <c r="C119" s="2" t="s">
        <v>260</v>
      </c>
      <c r="D119" s="3" t="s">
        <v>38</v>
      </c>
      <c r="E119" s="3" t="s">
        <v>162</v>
      </c>
      <c r="F119" s="4">
        <v>7</v>
      </c>
      <c r="G119" s="4">
        <v>23.84</v>
      </c>
      <c r="H119" s="4">
        <f>ROUND(G119+G119*J7,2)</f>
        <v>30.62</v>
      </c>
      <c r="I119" s="4">
        <f>ROUND(F119*G119,2)</f>
        <v>166.88</v>
      </c>
      <c r="J119" s="75">
        <v>214.34</v>
      </c>
      <c r="K119" s="18"/>
    </row>
    <row r="120" spans="1:11" ht="22.8">
      <c r="A120" s="80" t="s">
        <v>441</v>
      </c>
      <c r="B120" s="3" t="s">
        <v>261</v>
      </c>
      <c r="C120" s="2" t="s">
        <v>262</v>
      </c>
      <c r="D120" s="3" t="s">
        <v>16</v>
      </c>
      <c r="E120" s="3" t="s">
        <v>17</v>
      </c>
      <c r="F120" s="4">
        <v>5</v>
      </c>
      <c r="G120" s="4">
        <v>4.42</v>
      </c>
      <c r="H120" s="4">
        <f>ROUND(G120+G120*J7,2)</f>
        <v>5.68</v>
      </c>
      <c r="I120" s="4">
        <f t="shared" ref="I120:I122" si="13">ROUND(F120*G120,2)</f>
        <v>22.1</v>
      </c>
      <c r="J120" s="75">
        <v>28.4</v>
      </c>
      <c r="K120" s="18"/>
    </row>
    <row r="121" spans="1:11" ht="22.8">
      <c r="A121" s="80" t="s">
        <v>442</v>
      </c>
      <c r="B121" s="3" t="s">
        <v>263</v>
      </c>
      <c r="C121" s="2" t="s">
        <v>264</v>
      </c>
      <c r="D121" s="3" t="s">
        <v>16</v>
      </c>
      <c r="E121" s="3" t="s">
        <v>154</v>
      </c>
      <c r="F121" s="4">
        <v>2</v>
      </c>
      <c r="G121" s="4">
        <v>31.63</v>
      </c>
      <c r="H121" s="4">
        <f>ROUND(G121+G121*J7,2)</f>
        <v>40.630000000000003</v>
      </c>
      <c r="I121" s="4">
        <f t="shared" si="13"/>
        <v>63.26</v>
      </c>
      <c r="J121" s="75">
        <v>81.260000000000005</v>
      </c>
      <c r="K121" s="18"/>
    </row>
    <row r="122" spans="1:11">
      <c r="A122" s="80" t="s">
        <v>443</v>
      </c>
      <c r="B122" s="3" t="s">
        <v>265</v>
      </c>
      <c r="C122" s="2" t="s">
        <v>266</v>
      </c>
      <c r="D122" s="3" t="s">
        <v>16</v>
      </c>
      <c r="E122" s="3" t="s">
        <v>154</v>
      </c>
      <c r="F122" s="4">
        <v>5</v>
      </c>
      <c r="G122" s="4">
        <v>18.39</v>
      </c>
      <c r="H122" s="4">
        <f>ROUND(G122+G122*J7,2)</f>
        <v>23.62</v>
      </c>
      <c r="I122" s="4">
        <f t="shared" si="13"/>
        <v>91.95</v>
      </c>
      <c r="J122" s="75">
        <v>118.1</v>
      </c>
      <c r="K122" s="18"/>
    </row>
    <row r="123" spans="1:11" ht="14.25" customHeight="1">
      <c r="A123" s="81" t="s">
        <v>444</v>
      </c>
      <c r="B123" s="106" t="s">
        <v>267</v>
      </c>
      <c r="C123" s="107"/>
      <c r="D123" s="107"/>
      <c r="E123" s="107"/>
      <c r="F123" s="107"/>
      <c r="G123" s="107"/>
      <c r="H123" s="107"/>
      <c r="I123" s="1">
        <f>SUM(I124:I127)</f>
        <v>592.09999999999991</v>
      </c>
      <c r="J123" s="78">
        <f>SUM(J124:J127)</f>
        <v>760.48</v>
      </c>
      <c r="K123" s="18"/>
    </row>
    <row r="124" spans="1:11">
      <c r="A124" s="80" t="s">
        <v>445</v>
      </c>
      <c r="B124" s="3" t="s">
        <v>268</v>
      </c>
      <c r="C124" s="2" t="s">
        <v>269</v>
      </c>
      <c r="D124" s="3" t="s">
        <v>16</v>
      </c>
      <c r="E124" s="3" t="s">
        <v>154</v>
      </c>
      <c r="F124" s="4">
        <v>2</v>
      </c>
      <c r="G124" s="4">
        <v>13.94</v>
      </c>
      <c r="H124" s="4">
        <f>ROUND(G124+G124*J7,2)</f>
        <v>17.899999999999999</v>
      </c>
      <c r="I124" s="4">
        <f>ROUND(F124*G124,2)</f>
        <v>27.88</v>
      </c>
      <c r="J124" s="75">
        <v>35.799999999999997</v>
      </c>
      <c r="K124" s="18"/>
    </row>
    <row r="125" spans="1:11">
      <c r="A125" s="80" t="s">
        <v>446</v>
      </c>
      <c r="B125" s="3" t="s">
        <v>270</v>
      </c>
      <c r="C125" s="2" t="s">
        <v>271</v>
      </c>
      <c r="D125" s="3" t="s">
        <v>16</v>
      </c>
      <c r="E125" s="3" t="s">
        <v>154</v>
      </c>
      <c r="F125" s="4">
        <v>2</v>
      </c>
      <c r="G125" s="4">
        <v>13.94</v>
      </c>
      <c r="H125" s="4">
        <f>ROUND(G125+G125*J7,2)</f>
        <v>17.899999999999999</v>
      </c>
      <c r="I125" s="4">
        <f t="shared" ref="I125:I127" si="14">ROUND(F125*G125,2)</f>
        <v>27.88</v>
      </c>
      <c r="J125" s="75">
        <v>35.799999999999997</v>
      </c>
      <c r="K125" s="18"/>
    </row>
    <row r="126" spans="1:11">
      <c r="A126" s="80" t="s">
        <v>447</v>
      </c>
      <c r="B126" s="3" t="s">
        <v>272</v>
      </c>
      <c r="C126" s="2" t="s">
        <v>273</v>
      </c>
      <c r="D126" s="3" t="s">
        <v>16</v>
      </c>
      <c r="E126" s="3" t="s">
        <v>154</v>
      </c>
      <c r="F126" s="4">
        <v>1</v>
      </c>
      <c r="G126" s="4">
        <v>63.44</v>
      </c>
      <c r="H126" s="4">
        <f>ROUND(G126+G126*J7,2)</f>
        <v>81.48</v>
      </c>
      <c r="I126" s="4">
        <f t="shared" si="14"/>
        <v>63.44</v>
      </c>
      <c r="J126" s="75">
        <v>81.48</v>
      </c>
      <c r="K126" s="18"/>
    </row>
    <row r="127" spans="1:11" ht="22.8">
      <c r="A127" s="80" t="s">
        <v>448</v>
      </c>
      <c r="B127" s="3" t="s">
        <v>274</v>
      </c>
      <c r="C127" s="2" t="s">
        <v>275</v>
      </c>
      <c r="D127" s="3" t="s">
        <v>38</v>
      </c>
      <c r="E127" s="3" t="s">
        <v>162</v>
      </c>
      <c r="F127" s="4">
        <v>2</v>
      </c>
      <c r="G127" s="4">
        <v>236.45</v>
      </c>
      <c r="H127" s="4">
        <f>ROUND(G127+G127*J7,2)</f>
        <v>303.7</v>
      </c>
      <c r="I127" s="4">
        <f t="shared" si="14"/>
        <v>472.9</v>
      </c>
      <c r="J127" s="75">
        <v>607.4</v>
      </c>
      <c r="K127" s="18"/>
    </row>
    <row r="128" spans="1:11" ht="15.75" customHeight="1">
      <c r="A128" s="81" t="s">
        <v>449</v>
      </c>
      <c r="B128" s="106" t="s">
        <v>276</v>
      </c>
      <c r="C128" s="107"/>
      <c r="D128" s="107"/>
      <c r="E128" s="107"/>
      <c r="F128" s="107"/>
      <c r="G128" s="107"/>
      <c r="H128" s="107"/>
      <c r="I128" s="1">
        <f>SUM(I129)</f>
        <v>467.63</v>
      </c>
      <c r="J128" s="78">
        <f>SUM(J129)</f>
        <v>600.17999999999995</v>
      </c>
      <c r="K128" s="18"/>
    </row>
    <row r="129" spans="1:11" ht="34.200000000000003">
      <c r="A129" s="80" t="s">
        <v>450</v>
      </c>
      <c r="B129" s="3" t="s">
        <v>277</v>
      </c>
      <c r="C129" s="2" t="s">
        <v>278</v>
      </c>
      <c r="D129" s="3" t="s">
        <v>38</v>
      </c>
      <c r="E129" s="3" t="s">
        <v>97</v>
      </c>
      <c r="F129" s="4">
        <v>93.34</v>
      </c>
      <c r="G129" s="4">
        <v>5.01</v>
      </c>
      <c r="H129" s="4">
        <f>ROUND(G129+G129*J7,2)</f>
        <v>6.43</v>
      </c>
      <c r="I129" s="4">
        <f>ROUND(F129*G129,2)</f>
        <v>467.63</v>
      </c>
      <c r="J129" s="75">
        <v>600.17999999999995</v>
      </c>
      <c r="K129" s="18"/>
    </row>
    <row r="130" spans="1:11" ht="14.25" customHeight="1">
      <c r="A130" s="81" t="s">
        <v>451</v>
      </c>
      <c r="B130" s="106" t="s">
        <v>279</v>
      </c>
      <c r="C130" s="107"/>
      <c r="D130" s="107"/>
      <c r="E130" s="107"/>
      <c r="F130" s="107"/>
      <c r="G130" s="107"/>
      <c r="H130" s="107"/>
      <c r="I130" s="1">
        <f>SUM(I131)</f>
        <v>64.14</v>
      </c>
      <c r="J130" s="78">
        <f>SUM(J131)</f>
        <v>82.38</v>
      </c>
      <c r="K130" s="18"/>
    </row>
    <row r="131" spans="1:11" ht="22.8">
      <c r="A131" s="80" t="s">
        <v>452</v>
      </c>
      <c r="B131" s="3" t="s">
        <v>280</v>
      </c>
      <c r="C131" s="2" t="s">
        <v>281</v>
      </c>
      <c r="D131" s="3" t="s">
        <v>16</v>
      </c>
      <c r="E131" s="3" t="s">
        <v>112</v>
      </c>
      <c r="F131" s="4">
        <v>6</v>
      </c>
      <c r="G131" s="4">
        <v>10.69</v>
      </c>
      <c r="H131" s="4">
        <f>ROUND(G131+G131*J7,2)</f>
        <v>13.73</v>
      </c>
      <c r="I131" s="4">
        <f>ROUND(F131*G131,2)</f>
        <v>64.14</v>
      </c>
      <c r="J131" s="75">
        <v>82.38</v>
      </c>
      <c r="K131" s="18"/>
    </row>
    <row r="132" spans="1:11" ht="14.25" customHeight="1">
      <c r="A132" s="81" t="s">
        <v>453</v>
      </c>
      <c r="B132" s="106" t="s">
        <v>282</v>
      </c>
      <c r="C132" s="107"/>
      <c r="D132" s="107"/>
      <c r="E132" s="107"/>
      <c r="F132" s="107"/>
      <c r="G132" s="107"/>
      <c r="H132" s="107"/>
      <c r="I132" s="1">
        <f>SUM(I133:I137)</f>
        <v>772.78</v>
      </c>
      <c r="J132" s="78">
        <f>SUM(J133:J137)</f>
        <v>992.61</v>
      </c>
      <c r="K132" s="18"/>
    </row>
    <row r="133" spans="1:11" ht="38.25" customHeight="1">
      <c r="A133" s="80" t="s">
        <v>454</v>
      </c>
      <c r="B133" s="47" t="s">
        <v>405</v>
      </c>
      <c r="C133" s="2" t="s">
        <v>283</v>
      </c>
      <c r="D133" s="3" t="s">
        <v>16</v>
      </c>
      <c r="E133" s="3" t="s">
        <v>154</v>
      </c>
      <c r="F133" s="4">
        <v>7</v>
      </c>
      <c r="G133" s="4">
        <v>16.03</v>
      </c>
      <c r="H133" s="4">
        <f>ROUND(G133+G133*J7,2)</f>
        <v>20.59</v>
      </c>
      <c r="I133" s="4">
        <f>ROUND(F133*G133,2)</f>
        <v>112.21</v>
      </c>
      <c r="J133" s="75">
        <v>144.13</v>
      </c>
      <c r="K133" s="18"/>
    </row>
    <row r="134" spans="1:11" ht="45.6">
      <c r="A134" s="80" t="s">
        <v>455</v>
      </c>
      <c r="B134" s="47" t="s">
        <v>406</v>
      </c>
      <c r="C134" s="46" t="s">
        <v>407</v>
      </c>
      <c r="D134" s="47" t="s">
        <v>382</v>
      </c>
      <c r="E134" s="47" t="s">
        <v>410</v>
      </c>
      <c r="F134" s="4">
        <v>3</v>
      </c>
      <c r="G134" s="4">
        <v>64.650000000000006</v>
      </c>
      <c r="H134" s="4">
        <f>ROUND(G134+G134*J7,2)</f>
        <v>83.04</v>
      </c>
      <c r="I134" s="4">
        <f t="shared" ref="I134:I137" si="15">ROUND(F134*G134,2)</f>
        <v>193.95</v>
      </c>
      <c r="J134" s="75">
        <v>249.12</v>
      </c>
      <c r="K134" s="18"/>
    </row>
    <row r="135" spans="1:11" ht="22.8">
      <c r="A135" s="80" t="s">
        <v>456</v>
      </c>
      <c r="B135" s="47">
        <v>92865</v>
      </c>
      <c r="C135" s="46" t="s">
        <v>411</v>
      </c>
      <c r="D135" s="47" t="s">
        <v>408</v>
      </c>
      <c r="E135" s="47" t="s">
        <v>394</v>
      </c>
      <c r="F135" s="4">
        <v>7</v>
      </c>
      <c r="G135" s="4">
        <v>9.8000000000000007</v>
      </c>
      <c r="H135" s="4">
        <f>ROUND(G135+G135*J7,2)</f>
        <v>12.59</v>
      </c>
      <c r="I135" s="4">
        <f>ROUND(F135*G135,2)</f>
        <v>68.599999999999994</v>
      </c>
      <c r="J135" s="75">
        <v>88.13</v>
      </c>
      <c r="K135" s="18"/>
    </row>
    <row r="136" spans="1:11" ht="34.200000000000003">
      <c r="A136" s="80" t="s">
        <v>457</v>
      </c>
      <c r="B136" s="47">
        <v>92869</v>
      </c>
      <c r="C136" s="46" t="s">
        <v>412</v>
      </c>
      <c r="D136" s="47" t="s">
        <v>408</v>
      </c>
      <c r="E136" s="47" t="s">
        <v>394</v>
      </c>
      <c r="F136" s="4">
        <v>17</v>
      </c>
      <c r="G136" s="4">
        <v>7.98</v>
      </c>
      <c r="H136" s="4">
        <f>ROUND(G136+G136*J7,2)</f>
        <v>10.25</v>
      </c>
      <c r="I136" s="4">
        <f>ROUND(F136*G136,2)</f>
        <v>135.66</v>
      </c>
      <c r="J136" s="75">
        <v>174.25</v>
      </c>
      <c r="K136" s="18"/>
    </row>
    <row r="137" spans="1:11" ht="34.200000000000003">
      <c r="A137" s="80" t="s">
        <v>458</v>
      </c>
      <c r="B137" s="47">
        <v>97592</v>
      </c>
      <c r="C137" s="46" t="s">
        <v>409</v>
      </c>
      <c r="D137" s="3" t="s">
        <v>408</v>
      </c>
      <c r="E137" s="3" t="s">
        <v>394</v>
      </c>
      <c r="F137" s="4">
        <v>7</v>
      </c>
      <c r="G137" s="4">
        <v>37.479999999999997</v>
      </c>
      <c r="H137" s="4">
        <f>ROUND(G137+G137*J7,2)</f>
        <v>48.14</v>
      </c>
      <c r="I137" s="4">
        <f t="shared" si="15"/>
        <v>262.36</v>
      </c>
      <c r="J137" s="75">
        <v>336.98</v>
      </c>
      <c r="K137" s="18"/>
    </row>
    <row r="138" spans="1:11" ht="13.5" customHeight="1">
      <c r="A138" s="81" t="s">
        <v>459</v>
      </c>
      <c r="B138" s="106" t="s">
        <v>284</v>
      </c>
      <c r="C138" s="107"/>
      <c r="D138" s="107"/>
      <c r="E138" s="107"/>
      <c r="F138" s="107"/>
      <c r="G138" s="107"/>
      <c r="H138" s="107"/>
      <c r="I138" s="1">
        <f>SUM(I139:I142)</f>
        <v>111.50999999999999</v>
      </c>
      <c r="J138" s="78">
        <f>SUM(J139:J142)</f>
        <v>143.22</v>
      </c>
      <c r="K138" s="18"/>
    </row>
    <row r="139" spans="1:11" ht="22.8">
      <c r="A139" s="80" t="s">
        <v>460</v>
      </c>
      <c r="B139" s="3" t="s">
        <v>285</v>
      </c>
      <c r="C139" s="2" t="s">
        <v>286</v>
      </c>
      <c r="D139" s="3" t="s">
        <v>38</v>
      </c>
      <c r="E139" s="3" t="s">
        <v>162</v>
      </c>
      <c r="F139" s="4">
        <v>1</v>
      </c>
      <c r="G139" s="4">
        <v>21.18</v>
      </c>
      <c r="H139" s="4">
        <f>ROUND(G139+G139*J7,2)</f>
        <v>27.2</v>
      </c>
      <c r="I139" s="4">
        <f>ROUND(F139*G139,2)</f>
        <v>21.18</v>
      </c>
      <c r="J139" s="75">
        <v>27.2</v>
      </c>
      <c r="K139" s="18"/>
    </row>
    <row r="140" spans="1:11" ht="34.200000000000003">
      <c r="A140" s="80" t="s">
        <v>461</v>
      </c>
      <c r="B140" s="3" t="s">
        <v>287</v>
      </c>
      <c r="C140" s="2" t="s">
        <v>288</v>
      </c>
      <c r="D140" s="3" t="s">
        <v>16</v>
      </c>
      <c r="E140" s="3" t="s">
        <v>17</v>
      </c>
      <c r="F140" s="4">
        <v>1</v>
      </c>
      <c r="G140" s="4">
        <v>65.209999999999994</v>
      </c>
      <c r="H140" s="4">
        <f>ROUND(G140+G140*J7,2)</f>
        <v>83.76</v>
      </c>
      <c r="I140" s="4">
        <f t="shared" ref="I140:I142" si="16">ROUND(F140*G140,2)</f>
        <v>65.209999999999994</v>
      </c>
      <c r="J140" s="75">
        <v>83.76</v>
      </c>
      <c r="K140" s="18"/>
    </row>
    <row r="141" spans="1:11" ht="22.8">
      <c r="A141" s="80" t="s">
        <v>462</v>
      </c>
      <c r="B141" s="3" t="s">
        <v>289</v>
      </c>
      <c r="C141" s="2" t="s">
        <v>290</v>
      </c>
      <c r="D141" s="3" t="s">
        <v>16</v>
      </c>
      <c r="E141" s="3" t="s">
        <v>154</v>
      </c>
      <c r="F141" s="4">
        <v>2</v>
      </c>
      <c r="G141" s="4">
        <v>3.46</v>
      </c>
      <c r="H141" s="4">
        <f>ROUND(G141+G141*J7,2)</f>
        <v>4.4400000000000004</v>
      </c>
      <c r="I141" s="4">
        <f t="shared" si="16"/>
        <v>6.92</v>
      </c>
      <c r="J141" s="75">
        <v>8.8800000000000008</v>
      </c>
      <c r="K141" s="18"/>
    </row>
    <row r="142" spans="1:11" ht="34.200000000000003">
      <c r="A142" s="80" t="s">
        <v>463</v>
      </c>
      <c r="B142" s="3" t="s">
        <v>291</v>
      </c>
      <c r="C142" s="2" t="s">
        <v>292</v>
      </c>
      <c r="D142" s="3" t="s">
        <v>38</v>
      </c>
      <c r="E142" s="3" t="s">
        <v>162</v>
      </c>
      <c r="F142" s="4">
        <v>2</v>
      </c>
      <c r="G142" s="4">
        <v>9.1</v>
      </c>
      <c r="H142" s="4">
        <f>ROUND(G142+G142*J7,2)</f>
        <v>11.69</v>
      </c>
      <c r="I142" s="4">
        <f t="shared" si="16"/>
        <v>18.2</v>
      </c>
      <c r="J142" s="75">
        <v>23.38</v>
      </c>
      <c r="K142" s="18"/>
    </row>
    <row r="143" spans="1:11" ht="13.5" customHeight="1">
      <c r="A143" s="81" t="s">
        <v>464</v>
      </c>
      <c r="B143" s="106" t="s">
        <v>293</v>
      </c>
      <c r="C143" s="107"/>
      <c r="D143" s="107"/>
      <c r="E143" s="107"/>
      <c r="F143" s="107"/>
      <c r="G143" s="107"/>
      <c r="H143" s="107"/>
      <c r="I143" s="1">
        <f>SUM(I144)</f>
        <v>989.74</v>
      </c>
      <c r="J143" s="78">
        <f>SUM(J144)</f>
        <v>1271.22</v>
      </c>
      <c r="K143" s="18"/>
    </row>
    <row r="144" spans="1:11" ht="22.8">
      <c r="A144" s="80" t="s">
        <v>465</v>
      </c>
      <c r="B144" s="3" t="s">
        <v>294</v>
      </c>
      <c r="C144" s="2" t="s">
        <v>295</v>
      </c>
      <c r="D144" s="3" t="s">
        <v>16</v>
      </c>
      <c r="E144" s="3" t="s">
        <v>154</v>
      </c>
      <c r="F144" s="4">
        <v>1</v>
      </c>
      <c r="G144" s="4">
        <v>989.74</v>
      </c>
      <c r="H144" s="4">
        <f>ROUND(G144+G144*J7,2)</f>
        <v>1271.22</v>
      </c>
      <c r="I144" s="4">
        <f>ROUND(F144*G144,2)</f>
        <v>989.74</v>
      </c>
      <c r="J144" s="75">
        <v>1271.22</v>
      </c>
      <c r="K144" s="18"/>
    </row>
    <row r="145" spans="1:11" ht="16.5" customHeight="1">
      <c r="A145" s="81" t="s">
        <v>466</v>
      </c>
      <c r="B145" s="106" t="s">
        <v>296</v>
      </c>
      <c r="C145" s="107"/>
      <c r="D145" s="107"/>
      <c r="E145" s="107"/>
      <c r="F145" s="107"/>
      <c r="G145" s="107"/>
      <c r="H145" s="107"/>
      <c r="I145" s="1">
        <f>SUM(I146)</f>
        <v>698.31</v>
      </c>
      <c r="J145" s="78">
        <f>SUM(J146)</f>
        <v>896.91</v>
      </c>
      <c r="K145" s="18"/>
    </row>
    <row r="146" spans="1:11" ht="45.6">
      <c r="A146" s="80" t="s">
        <v>467</v>
      </c>
      <c r="B146" s="3" t="s">
        <v>297</v>
      </c>
      <c r="C146" s="2" t="s">
        <v>298</v>
      </c>
      <c r="D146" s="3" t="s">
        <v>38</v>
      </c>
      <c r="E146" s="3" t="s">
        <v>162</v>
      </c>
      <c r="F146" s="4">
        <v>1</v>
      </c>
      <c r="G146" s="4">
        <v>698.31</v>
      </c>
      <c r="H146" s="4">
        <f>ROUND(G146+G146*J7,2)</f>
        <v>896.91</v>
      </c>
      <c r="I146" s="4">
        <f>ROUND(F146*G146,2)</f>
        <v>698.31</v>
      </c>
      <c r="J146" s="75">
        <v>896.91</v>
      </c>
      <c r="K146" s="18"/>
    </row>
    <row r="147" spans="1:11" ht="11.25" customHeight="1">
      <c r="A147" s="72" t="s">
        <v>299</v>
      </c>
      <c r="B147" s="101" t="s">
        <v>300</v>
      </c>
      <c r="C147" s="102"/>
      <c r="D147" s="102"/>
      <c r="E147" s="102"/>
      <c r="F147" s="102"/>
      <c r="G147" s="102"/>
      <c r="H147" s="102"/>
      <c r="I147" s="6">
        <f>SUM(I148:I157)</f>
        <v>3336.1099999999997</v>
      </c>
      <c r="J147" s="73">
        <f>SUM(J148:J157)</f>
        <v>4284.9299999999994</v>
      </c>
      <c r="K147" s="18"/>
    </row>
    <row r="148" spans="1:11" ht="108" customHeight="1">
      <c r="A148" s="74" t="s">
        <v>301</v>
      </c>
      <c r="B148" s="3" t="s">
        <v>302</v>
      </c>
      <c r="C148" s="2" t="s">
        <v>303</v>
      </c>
      <c r="D148" s="3" t="s">
        <v>16</v>
      </c>
      <c r="E148" s="3" t="s">
        <v>423</v>
      </c>
      <c r="F148" s="4">
        <v>2</v>
      </c>
      <c r="G148" s="4">
        <v>390.2</v>
      </c>
      <c r="H148" s="4">
        <f>ROUND(G148+G148*J7,2)</f>
        <v>501.17</v>
      </c>
      <c r="I148" s="4">
        <f>ROUND(F148*G148,2)</f>
        <v>780.4</v>
      </c>
      <c r="J148" s="75">
        <v>1002.34</v>
      </c>
      <c r="K148" s="18"/>
    </row>
    <row r="149" spans="1:11" ht="34.200000000000003">
      <c r="A149" s="74" t="s">
        <v>468</v>
      </c>
      <c r="B149" s="3" t="s">
        <v>304</v>
      </c>
      <c r="C149" s="2" t="s">
        <v>305</v>
      </c>
      <c r="D149" s="3" t="s">
        <v>38</v>
      </c>
      <c r="E149" s="3" t="s">
        <v>162</v>
      </c>
      <c r="F149" s="4">
        <v>2</v>
      </c>
      <c r="G149" s="4">
        <v>282.42</v>
      </c>
      <c r="H149" s="4">
        <f>ROUND(G149+G149*J7,2)</f>
        <v>362.74</v>
      </c>
      <c r="I149" s="4">
        <f t="shared" ref="I149:I157" si="17">ROUND(F149*G149,2)</f>
        <v>564.84</v>
      </c>
      <c r="J149" s="75">
        <v>725.48</v>
      </c>
      <c r="K149" s="18"/>
    </row>
    <row r="150" spans="1:11" ht="22.8">
      <c r="A150" s="74" t="s">
        <v>469</v>
      </c>
      <c r="B150" s="3" t="s">
        <v>306</v>
      </c>
      <c r="C150" s="2" t="s">
        <v>307</v>
      </c>
      <c r="D150" s="3" t="s">
        <v>16</v>
      </c>
      <c r="E150" s="3" t="s">
        <v>20</v>
      </c>
      <c r="F150" s="4">
        <v>1.82</v>
      </c>
      <c r="G150" s="4">
        <v>267.98</v>
      </c>
      <c r="H150" s="4">
        <f>ROUND(G150+G150*J7,2)</f>
        <v>344.19</v>
      </c>
      <c r="I150" s="4">
        <f t="shared" si="17"/>
        <v>487.72</v>
      </c>
      <c r="J150" s="75">
        <v>626.42999999999995</v>
      </c>
      <c r="K150" s="18"/>
    </row>
    <row r="151" spans="1:11" ht="22.8">
      <c r="A151" s="74" t="s">
        <v>417</v>
      </c>
      <c r="B151" s="3">
        <v>95545</v>
      </c>
      <c r="C151" s="2" t="s">
        <v>414</v>
      </c>
      <c r="D151" s="3" t="s">
        <v>408</v>
      </c>
      <c r="E151" s="3" t="s">
        <v>394</v>
      </c>
      <c r="F151" s="4">
        <v>2</v>
      </c>
      <c r="G151" s="4">
        <v>29.77</v>
      </c>
      <c r="H151" s="4">
        <f>ROUND(G151+G151*J7,2)</f>
        <v>38.24</v>
      </c>
      <c r="I151" s="4">
        <f t="shared" si="17"/>
        <v>59.54</v>
      </c>
      <c r="J151" s="75">
        <v>76.48</v>
      </c>
      <c r="K151" s="18"/>
    </row>
    <row r="152" spans="1:11" ht="59.25" customHeight="1">
      <c r="A152" s="74" t="s">
        <v>418</v>
      </c>
      <c r="B152" s="3" t="s">
        <v>422</v>
      </c>
      <c r="C152" s="2" t="s">
        <v>424</v>
      </c>
      <c r="D152" s="3" t="s">
        <v>382</v>
      </c>
      <c r="E152" s="3" t="s">
        <v>394</v>
      </c>
      <c r="F152" s="4">
        <v>1</v>
      </c>
      <c r="G152" s="4">
        <v>341.41</v>
      </c>
      <c r="H152" s="4">
        <f>ROUND(G152+G152*J7,2)</f>
        <v>438.51</v>
      </c>
      <c r="I152" s="4">
        <f t="shared" si="17"/>
        <v>341.41</v>
      </c>
      <c r="J152" s="75">
        <v>438.51</v>
      </c>
      <c r="K152" s="18"/>
    </row>
    <row r="153" spans="1:11" ht="41.25" customHeight="1">
      <c r="A153" s="74" t="s">
        <v>419</v>
      </c>
      <c r="B153" s="3" t="s">
        <v>425</v>
      </c>
      <c r="C153" s="2" t="s">
        <v>426</v>
      </c>
      <c r="D153" s="3" t="s">
        <v>382</v>
      </c>
      <c r="E153" s="3" t="s">
        <v>394</v>
      </c>
      <c r="F153" s="4">
        <v>1</v>
      </c>
      <c r="G153" s="4">
        <v>73.34</v>
      </c>
      <c r="H153" s="4">
        <f>ROUND(G153+G153*J7,2)</f>
        <v>94.2</v>
      </c>
      <c r="I153" s="4">
        <f t="shared" si="17"/>
        <v>73.34</v>
      </c>
      <c r="J153" s="75">
        <v>94.2</v>
      </c>
      <c r="K153" s="18"/>
    </row>
    <row r="154" spans="1:11" ht="22.8">
      <c r="A154" s="74" t="s">
        <v>420</v>
      </c>
      <c r="B154" s="3">
        <v>100849</v>
      </c>
      <c r="C154" s="2" t="s">
        <v>415</v>
      </c>
      <c r="D154" s="3" t="s">
        <v>408</v>
      </c>
      <c r="E154" s="3" t="s">
        <v>394</v>
      </c>
      <c r="F154" s="4">
        <v>2</v>
      </c>
      <c r="G154" s="4">
        <v>43.55</v>
      </c>
      <c r="H154" s="4">
        <f>ROUND(G154+G154*J7,2)</f>
        <v>55.94</v>
      </c>
      <c r="I154" s="4">
        <f t="shared" si="17"/>
        <v>87.1</v>
      </c>
      <c r="J154" s="75">
        <v>111.88</v>
      </c>
      <c r="K154" s="18"/>
    </row>
    <row r="155" spans="1:11" ht="22.8">
      <c r="A155" s="74" t="s">
        <v>421</v>
      </c>
      <c r="B155" s="3">
        <v>95544</v>
      </c>
      <c r="C155" s="2" t="s">
        <v>416</v>
      </c>
      <c r="D155" s="3" t="s">
        <v>408</v>
      </c>
      <c r="E155" s="3" t="s">
        <v>394</v>
      </c>
      <c r="F155" s="4">
        <v>2</v>
      </c>
      <c r="G155" s="4">
        <v>30.33</v>
      </c>
      <c r="H155" s="4">
        <f>ROUND(G155+G155*J7,2)</f>
        <v>38.96</v>
      </c>
      <c r="I155" s="4">
        <f t="shared" si="17"/>
        <v>60.66</v>
      </c>
      <c r="J155" s="75">
        <v>77.92</v>
      </c>
      <c r="K155" s="18"/>
    </row>
    <row r="156" spans="1:11" ht="33" customHeight="1">
      <c r="A156" s="74" t="s">
        <v>427</v>
      </c>
      <c r="B156" s="3">
        <v>86904</v>
      </c>
      <c r="C156" s="2" t="s">
        <v>413</v>
      </c>
      <c r="D156" s="3" t="s">
        <v>38</v>
      </c>
      <c r="E156" s="3" t="s">
        <v>162</v>
      </c>
      <c r="F156" s="4">
        <v>3</v>
      </c>
      <c r="G156" s="4">
        <v>151.44999999999999</v>
      </c>
      <c r="H156" s="4">
        <f>ROUND(G156+G156*J7,2)</f>
        <v>194.52</v>
      </c>
      <c r="I156" s="4">
        <f t="shared" si="17"/>
        <v>454.35</v>
      </c>
      <c r="J156" s="75">
        <v>583.55999999999995</v>
      </c>
      <c r="K156" s="18"/>
    </row>
    <row r="157" spans="1:11" ht="36" customHeight="1">
      <c r="A157" s="74" t="s">
        <v>428</v>
      </c>
      <c r="B157" s="3" t="s">
        <v>201</v>
      </c>
      <c r="C157" s="2" t="s">
        <v>202</v>
      </c>
      <c r="D157" s="3" t="s">
        <v>38</v>
      </c>
      <c r="E157" s="3" t="s">
        <v>162</v>
      </c>
      <c r="F157" s="4">
        <v>3</v>
      </c>
      <c r="G157" s="4">
        <v>142.25</v>
      </c>
      <c r="H157" s="4">
        <f>ROUND(G157+G157*J7,2)</f>
        <v>182.71</v>
      </c>
      <c r="I157" s="4">
        <f t="shared" si="17"/>
        <v>426.75</v>
      </c>
      <c r="J157" s="75">
        <f t="shared" ref="J157" si="18">ROUND(F157*H157,2)</f>
        <v>548.13</v>
      </c>
      <c r="K157" s="18"/>
    </row>
    <row r="158" spans="1:11" ht="15" customHeight="1">
      <c r="A158" s="82"/>
      <c r="B158" s="62"/>
      <c r="C158" s="62"/>
      <c r="D158" s="62"/>
      <c r="E158" s="62"/>
      <c r="F158" s="62"/>
      <c r="G158" s="62"/>
      <c r="H158" s="103" t="s">
        <v>308</v>
      </c>
      <c r="I158" s="104"/>
      <c r="J158" s="78">
        <f>J160-J159</f>
        <v>21325.810000000012</v>
      </c>
      <c r="K158" s="18"/>
    </row>
    <row r="159" spans="1:11" ht="15" customHeight="1">
      <c r="A159" s="82"/>
      <c r="B159" s="62"/>
      <c r="C159" s="62"/>
      <c r="D159" s="62"/>
      <c r="E159" s="62"/>
      <c r="F159" s="62"/>
      <c r="G159" s="62"/>
      <c r="H159" s="103" t="s">
        <v>309</v>
      </c>
      <c r="I159" s="104"/>
      <c r="J159" s="78">
        <f>I11+I14+I16+I25+I31+I37+I43+I47+I55+I63+I81+I113+I147</f>
        <v>75050.929999999993</v>
      </c>
      <c r="K159" s="18"/>
    </row>
    <row r="160" spans="1:11" ht="15" customHeight="1">
      <c r="A160" s="82"/>
      <c r="B160" s="62"/>
      <c r="C160" s="62"/>
      <c r="D160" s="62"/>
      <c r="E160" s="62"/>
      <c r="F160" s="62"/>
      <c r="G160" s="62"/>
      <c r="H160" s="103" t="s">
        <v>310</v>
      </c>
      <c r="I160" s="104"/>
      <c r="J160" s="83">
        <f>J11+J14+J16+J25+J31+J37+J43+J47+J55+J63+J81+J113+J147</f>
        <v>96376.74</v>
      </c>
      <c r="K160" s="18">
        <v>96370.33</v>
      </c>
    </row>
    <row r="161" spans="1:11">
      <c r="A161" s="66"/>
      <c r="B161" s="18"/>
      <c r="C161" s="100"/>
      <c r="D161" s="100"/>
      <c r="E161" s="100"/>
      <c r="F161" s="100"/>
      <c r="G161" s="100"/>
      <c r="H161" s="100"/>
      <c r="I161" s="100"/>
      <c r="J161" s="84"/>
      <c r="K161" s="18"/>
    </row>
    <row r="162" spans="1:11">
      <c r="A162" s="66"/>
      <c r="B162" s="18"/>
      <c r="C162" s="100"/>
      <c r="D162" s="100"/>
      <c r="E162" s="100"/>
      <c r="F162" s="100"/>
      <c r="G162" s="100"/>
      <c r="H162" s="100"/>
      <c r="I162" s="100"/>
      <c r="J162" s="84"/>
      <c r="K162" s="18"/>
    </row>
    <row r="163" spans="1:11">
      <c r="A163" s="66"/>
      <c r="B163" s="18"/>
      <c r="C163" s="105"/>
      <c r="D163" s="105"/>
      <c r="E163" s="105"/>
      <c r="F163" s="105"/>
      <c r="G163" s="105"/>
      <c r="H163" s="105"/>
      <c r="I163" s="105"/>
      <c r="J163" s="84"/>
      <c r="K163" s="18"/>
    </row>
    <row r="164" spans="1:11">
      <c r="A164" s="66"/>
      <c r="B164" s="18"/>
      <c r="C164" s="100" t="s">
        <v>327</v>
      </c>
      <c r="D164" s="100"/>
      <c r="E164" s="100"/>
      <c r="F164" s="100"/>
      <c r="G164" s="100"/>
      <c r="H164" s="100"/>
      <c r="I164" s="100"/>
      <c r="J164" s="84"/>
      <c r="K164" s="18"/>
    </row>
    <row r="165" spans="1:11">
      <c r="A165" s="66"/>
      <c r="B165" s="18"/>
      <c r="C165" s="100" t="s">
        <v>403</v>
      </c>
      <c r="D165" s="100"/>
      <c r="E165" s="100"/>
      <c r="F165" s="100"/>
      <c r="G165" s="100"/>
      <c r="H165" s="100"/>
      <c r="I165" s="100"/>
      <c r="J165" s="84"/>
      <c r="K165" s="18"/>
    </row>
    <row r="166" spans="1:11">
      <c r="A166" s="66"/>
      <c r="B166" s="18"/>
      <c r="C166" s="100"/>
      <c r="D166" s="100"/>
      <c r="E166" s="100"/>
      <c r="F166" s="100"/>
      <c r="G166" s="100"/>
      <c r="H166" s="100"/>
      <c r="I166" s="100"/>
      <c r="J166" s="84"/>
      <c r="K166" s="18"/>
    </row>
    <row r="167" spans="1:11">
      <c r="A167" s="66"/>
      <c r="B167" s="18"/>
      <c r="C167" s="100"/>
      <c r="D167" s="100"/>
      <c r="E167" s="100"/>
      <c r="F167" s="100"/>
      <c r="G167" s="100"/>
      <c r="H167" s="100"/>
      <c r="I167" s="100"/>
      <c r="J167" s="84"/>
      <c r="K167" s="18"/>
    </row>
    <row r="168" spans="1:11">
      <c r="A168" s="66"/>
      <c r="B168" s="18"/>
      <c r="C168" s="100"/>
      <c r="D168" s="100"/>
      <c r="E168" s="100"/>
      <c r="F168" s="100"/>
      <c r="G168" s="100"/>
      <c r="H168" s="100"/>
      <c r="I168" s="100"/>
      <c r="J168" s="84"/>
      <c r="K168" s="18"/>
    </row>
    <row r="169" spans="1:11" ht="15" thickBot="1">
      <c r="A169" s="85"/>
      <c r="B169" s="86"/>
      <c r="C169" s="86"/>
      <c r="D169" s="86"/>
      <c r="E169" s="86"/>
      <c r="F169" s="86"/>
      <c r="G169" s="86"/>
      <c r="H169" s="86"/>
      <c r="I169" s="86"/>
      <c r="J169" s="87"/>
      <c r="K169" s="18"/>
    </row>
  </sheetData>
  <mergeCells count="70">
    <mergeCell ref="G5:J5"/>
    <mergeCell ref="A7:F7"/>
    <mergeCell ref="A1:J1"/>
    <mergeCell ref="A6:F6"/>
    <mergeCell ref="A2:J2"/>
    <mergeCell ref="G3:H3"/>
    <mergeCell ref="I3:J3"/>
    <mergeCell ref="G4:H4"/>
    <mergeCell ref="I4:J4"/>
    <mergeCell ref="A8:A9"/>
    <mergeCell ref="B8:B9"/>
    <mergeCell ref="C8:C9"/>
    <mergeCell ref="D8:D9"/>
    <mergeCell ref="E8:E9"/>
    <mergeCell ref="F8:F9"/>
    <mergeCell ref="G8:H8"/>
    <mergeCell ref="I8:J8"/>
    <mergeCell ref="B10:H10"/>
    <mergeCell ref="B11:H11"/>
    <mergeCell ref="B14:H14"/>
    <mergeCell ref="B16:H16"/>
    <mergeCell ref="B25:H25"/>
    <mergeCell ref="B31:H31"/>
    <mergeCell ref="B37:H37"/>
    <mergeCell ref="B43:H43"/>
    <mergeCell ref="B47:H47"/>
    <mergeCell ref="B55:H55"/>
    <mergeCell ref="B63:H63"/>
    <mergeCell ref="B64:H64"/>
    <mergeCell ref="B65:H65"/>
    <mergeCell ref="B67:H67"/>
    <mergeCell ref="B70:H70"/>
    <mergeCell ref="B76:H76"/>
    <mergeCell ref="B78:H78"/>
    <mergeCell ref="B79:H79"/>
    <mergeCell ref="B81:H81"/>
    <mergeCell ref="B82:H82"/>
    <mergeCell ref="B83:H83"/>
    <mergeCell ref="B85:H85"/>
    <mergeCell ref="B87:H87"/>
    <mergeCell ref="B89:H89"/>
    <mergeCell ref="B92:H92"/>
    <mergeCell ref="B93:H93"/>
    <mergeCell ref="B96:H96"/>
    <mergeCell ref="B114:H114"/>
    <mergeCell ref="B118:H118"/>
    <mergeCell ref="B123:H123"/>
    <mergeCell ref="B128:H128"/>
    <mergeCell ref="B100:H100"/>
    <mergeCell ref="B104:H104"/>
    <mergeCell ref="B108:H108"/>
    <mergeCell ref="B111:H111"/>
    <mergeCell ref="B113:H113"/>
    <mergeCell ref="B130:H130"/>
    <mergeCell ref="B132:H132"/>
    <mergeCell ref="B138:H138"/>
    <mergeCell ref="B143:H143"/>
    <mergeCell ref="B145:H145"/>
    <mergeCell ref="B147:H147"/>
    <mergeCell ref="C165:I165"/>
    <mergeCell ref="H158:I158"/>
    <mergeCell ref="H159:I159"/>
    <mergeCell ref="H160:I160"/>
    <mergeCell ref="C163:I163"/>
    <mergeCell ref="C164:I164"/>
    <mergeCell ref="C168:I168"/>
    <mergeCell ref="C162:I162"/>
    <mergeCell ref="C161:I161"/>
    <mergeCell ref="C167:I167"/>
    <mergeCell ref="C166:I166"/>
  </mergeCells>
  <phoneticPr fontId="29" type="noConversion"/>
  <pageMargins left="0.27777777777777779" right="0.27777777777777779" top="0.27777777777777779" bottom="0.27777777777777779" header="0" footer="0"/>
  <pageSetup paperSize="9" scale="71" fitToHeight="0" orientation="portrait" r:id="rId1"/>
  <rowBreaks count="3" manualBreakCount="3">
    <brk id="42" max="9" man="1"/>
    <brk id="80" max="9" man="1"/>
    <brk id="12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7"/>
  <sheetViews>
    <sheetView showGridLines="0" showZeros="0" view="pageBreakPreview" zoomScaleNormal="100" zoomScaleSheetLayoutView="100" workbookViewId="0">
      <selection activeCell="E16" sqref="E16:G16"/>
    </sheetView>
  </sheetViews>
  <sheetFormatPr defaultColWidth="9.109375" defaultRowHeight="13.2"/>
  <cols>
    <col min="1" max="1" width="9.109375" style="20"/>
    <col min="2" max="2" width="8" style="20" customWidth="1"/>
    <col min="3" max="3" width="19.109375" style="20" customWidth="1"/>
    <col min="4" max="4" width="48" style="20" customWidth="1"/>
    <col min="5" max="5" width="11.5546875" style="20" customWidth="1"/>
    <col min="6" max="6" width="12.44140625" style="20" customWidth="1"/>
    <col min="7" max="7" width="11.6640625" style="20" customWidth="1"/>
    <col min="8" max="8" width="10.33203125" style="20" customWidth="1"/>
    <col min="9" max="9" width="13.6640625" style="20" customWidth="1"/>
    <col min="10" max="10" width="0" style="20" hidden="1" customWidth="1"/>
    <col min="11" max="16384" width="9.109375" style="20"/>
  </cols>
  <sheetData>
    <row r="1" spans="2:10" ht="60.75" customHeight="1">
      <c r="B1" s="207"/>
      <c r="C1" s="207"/>
      <c r="D1" s="208"/>
      <c r="E1" s="208"/>
      <c r="F1" s="208"/>
      <c r="G1" s="208"/>
      <c r="H1" s="208"/>
      <c r="I1" s="208"/>
    </row>
    <row r="2" spans="2:10" ht="15.6">
      <c r="B2" s="209"/>
      <c r="C2" s="209"/>
      <c r="D2" s="209"/>
      <c r="E2" s="209"/>
      <c r="F2" s="209"/>
      <c r="G2" s="209"/>
      <c r="H2" s="209"/>
      <c r="I2" s="209"/>
    </row>
    <row r="3" spans="2:10" ht="3.75" customHeight="1" thickBot="1">
      <c r="B3" s="210"/>
      <c r="C3" s="210"/>
      <c r="D3" s="210"/>
      <c r="E3" s="210"/>
      <c r="F3" s="210"/>
      <c r="G3" s="210"/>
      <c r="H3" s="210"/>
      <c r="I3" s="210"/>
    </row>
    <row r="4" spans="2:10" ht="20.100000000000001" customHeight="1" thickBot="1">
      <c r="B4" s="170" t="s">
        <v>364</v>
      </c>
      <c r="C4" s="171"/>
      <c r="D4" s="171"/>
      <c r="E4" s="171"/>
      <c r="F4" s="171"/>
      <c r="G4" s="171"/>
      <c r="H4" s="171"/>
      <c r="I4" s="172"/>
    </row>
    <row r="5" spans="2:10" ht="3.75" customHeight="1">
      <c r="B5" s="44"/>
      <c r="C5" s="44"/>
      <c r="D5" s="44"/>
      <c r="E5" s="44"/>
      <c r="F5" s="44"/>
      <c r="G5" s="44"/>
      <c r="H5" s="44"/>
      <c r="I5" s="44"/>
    </row>
    <row r="6" spans="2:10" ht="20.100000000000001" customHeight="1">
      <c r="B6" s="196" t="s">
        <v>363</v>
      </c>
      <c r="C6" s="196"/>
      <c r="D6" s="204" t="s">
        <v>362</v>
      </c>
      <c r="E6" s="205"/>
      <c r="F6" s="205"/>
      <c r="G6" s="206"/>
      <c r="H6" s="41" t="s">
        <v>318</v>
      </c>
      <c r="I6" s="43">
        <f ca="1">TODAY()</f>
        <v>44721</v>
      </c>
    </row>
    <row r="7" spans="2:10" ht="20.100000000000001" customHeight="1">
      <c r="B7" s="196" t="s">
        <v>361</v>
      </c>
      <c r="C7" s="196"/>
      <c r="D7" s="197" t="s">
        <v>313</v>
      </c>
      <c r="E7" s="197"/>
      <c r="F7" s="197"/>
      <c r="G7" s="197"/>
      <c r="H7" s="197"/>
      <c r="I7" s="197"/>
    </row>
    <row r="8" spans="2:10" ht="20.100000000000001" customHeight="1">
      <c r="B8" s="198" t="s">
        <v>360</v>
      </c>
      <c r="C8" s="198"/>
      <c r="D8" s="41" t="s">
        <v>549</v>
      </c>
      <c r="E8" s="42" t="s">
        <v>359</v>
      </c>
      <c r="F8" s="42"/>
      <c r="G8" s="199" t="s">
        <v>323</v>
      </c>
      <c r="H8" s="199"/>
      <c r="I8" s="199"/>
    </row>
    <row r="9" spans="2:10" ht="19.5" customHeight="1">
      <c r="B9" s="186" t="s">
        <v>358</v>
      </c>
      <c r="C9" s="186"/>
      <c r="D9" s="200" t="s">
        <v>365</v>
      </c>
      <c r="E9" s="192" t="s">
        <v>357</v>
      </c>
      <c r="F9" s="192"/>
      <c r="G9" s="192"/>
      <c r="H9" s="202">
        <v>0.03</v>
      </c>
      <c r="I9" s="203"/>
    </row>
    <row r="10" spans="2:10" ht="15.75" customHeight="1">
      <c r="B10" s="186"/>
      <c r="C10" s="186"/>
      <c r="D10" s="201"/>
      <c r="E10" s="192" t="s">
        <v>356</v>
      </c>
      <c r="F10" s="192"/>
      <c r="G10" s="192"/>
      <c r="H10" s="202">
        <v>1</v>
      </c>
      <c r="I10" s="203"/>
    </row>
    <row r="11" spans="2:10" ht="31.5" customHeight="1">
      <c r="B11" s="186" t="s">
        <v>355</v>
      </c>
      <c r="C11" s="186"/>
      <c r="D11" s="41" t="s">
        <v>366</v>
      </c>
      <c r="E11" s="187" t="s">
        <v>354</v>
      </c>
      <c r="F11" s="188"/>
      <c r="G11" s="189"/>
      <c r="H11" s="190"/>
      <c r="I11" s="191"/>
    </row>
    <row r="12" spans="2:10" ht="20.100000000000001" customHeight="1">
      <c r="B12" s="192" t="s">
        <v>353</v>
      </c>
      <c r="C12" s="192"/>
      <c r="D12" s="40" t="s">
        <v>352</v>
      </c>
      <c r="E12" s="187" t="s">
        <v>351</v>
      </c>
      <c r="F12" s="188"/>
      <c r="G12" s="193">
        <f>H28</f>
        <v>0.28442953242993818</v>
      </c>
      <c r="H12" s="194"/>
      <c r="I12" s="195"/>
      <c r="J12" s="39">
        <v>4.4999999999999998E-2</v>
      </c>
    </row>
    <row r="13" spans="2:10" ht="3.75" customHeight="1" thickBot="1">
      <c r="B13" s="169"/>
      <c r="C13" s="169"/>
      <c r="D13" s="169"/>
      <c r="E13" s="169"/>
      <c r="F13" s="169"/>
      <c r="G13" s="169"/>
      <c r="H13" s="169"/>
      <c r="I13" s="169"/>
    </row>
    <row r="14" spans="2:10" ht="20.100000000000001" customHeight="1" thickBot="1">
      <c r="B14" s="170" t="s">
        <v>350</v>
      </c>
      <c r="C14" s="171"/>
      <c r="D14" s="171"/>
      <c r="E14" s="171"/>
      <c r="F14" s="171"/>
      <c r="G14" s="171"/>
      <c r="H14" s="171"/>
      <c r="I14" s="172"/>
    </row>
    <row r="15" spans="2:10" ht="3.75" customHeight="1" thickBot="1">
      <c r="B15" s="38"/>
      <c r="C15" s="38"/>
      <c r="D15" s="38"/>
      <c r="E15" s="38"/>
      <c r="F15" s="38"/>
      <c r="G15" s="38"/>
      <c r="H15" s="38"/>
      <c r="I15" s="38"/>
    </row>
    <row r="16" spans="2:10" ht="27.75" customHeight="1">
      <c r="B16" s="173" t="s">
        <v>349</v>
      </c>
      <c r="C16" s="174"/>
      <c r="D16" s="177" t="s">
        <v>348</v>
      </c>
      <c r="E16" s="179" t="s">
        <v>347</v>
      </c>
      <c r="F16" s="180"/>
      <c r="G16" s="181"/>
      <c r="H16" s="182" t="s">
        <v>346</v>
      </c>
      <c r="I16" s="183"/>
    </row>
    <row r="17" spans="2:9" ht="20.100000000000001" customHeight="1">
      <c r="B17" s="175"/>
      <c r="C17" s="176"/>
      <c r="D17" s="178"/>
      <c r="E17" s="37" t="s">
        <v>345</v>
      </c>
      <c r="F17" s="37" t="s">
        <v>344</v>
      </c>
      <c r="G17" s="37" t="s">
        <v>343</v>
      </c>
      <c r="H17" s="184"/>
      <c r="I17" s="185"/>
    </row>
    <row r="18" spans="2:9">
      <c r="B18" s="143" t="s">
        <v>342</v>
      </c>
      <c r="C18" s="144"/>
      <c r="D18" s="35" t="s">
        <v>341</v>
      </c>
      <c r="E18" s="32">
        <f>VLOOKUP($B$18,'[1]Lista suspensa'!$A$4:$S$10,5,0)</f>
        <v>0.03</v>
      </c>
      <c r="F18" s="32">
        <f>VLOOKUP($B$18,'[1]Lista suspensa'!$A$4:$S$10,6,0)</f>
        <v>0.04</v>
      </c>
      <c r="G18" s="32">
        <f>VLOOKUP($B$18,'[1]Lista suspensa'!$A$4:$S$10,7,0)</f>
        <v>5.5E-2</v>
      </c>
      <c r="H18" s="149">
        <v>3.7699999999999997E-2</v>
      </c>
      <c r="I18" s="149"/>
    </row>
    <row r="19" spans="2:9">
      <c r="B19" s="145"/>
      <c r="C19" s="146"/>
      <c r="D19" s="35" t="s">
        <v>340</v>
      </c>
      <c r="E19" s="32">
        <f>VLOOKUP($B$18,'[1]Lista suspensa'!$A$4:$S$10,8,0)</f>
        <v>8.0000000000000002E-3</v>
      </c>
      <c r="F19" s="32">
        <f>VLOOKUP($B$18,'[1]Lista suspensa'!$A$4:$S$10,9,0)</f>
        <v>8.0000000000000002E-3</v>
      </c>
      <c r="G19" s="32">
        <f>VLOOKUP($B$18,'[1]Lista suspensa'!$A$4:$S$10,10,0)</f>
        <v>0.01</v>
      </c>
      <c r="H19" s="149">
        <v>0.01</v>
      </c>
      <c r="I19" s="149"/>
    </row>
    <row r="20" spans="2:9">
      <c r="B20" s="145"/>
      <c r="C20" s="146"/>
      <c r="D20" s="35" t="s">
        <v>339</v>
      </c>
      <c r="E20" s="32">
        <f>VLOOKUP($B$18,'[1]Lista suspensa'!$A$4:$S$10,11,0)</f>
        <v>9.7000000000000003E-3</v>
      </c>
      <c r="F20" s="32">
        <f>VLOOKUP($B$18,'[1]Lista suspensa'!$A$4:$S$10,12,0)</f>
        <v>1.2699999999999999E-2</v>
      </c>
      <c r="G20" s="32">
        <f>VLOOKUP($B$18,'[1]Lista suspensa'!$A$4:$S$10,13,0)</f>
        <v>1.2699999999999999E-2</v>
      </c>
      <c r="H20" s="149">
        <v>1.2699999999999999E-2</v>
      </c>
      <c r="I20" s="149"/>
    </row>
    <row r="21" spans="2:9">
      <c r="B21" s="145"/>
      <c r="C21" s="146"/>
      <c r="D21" s="35" t="s">
        <v>338</v>
      </c>
      <c r="E21" s="32">
        <f>VLOOKUP($B$18,'[1]Lista suspensa'!$A$4:$S$10,14,0)</f>
        <v>5.8999999999999999E-3</v>
      </c>
      <c r="F21" s="32">
        <f>VLOOKUP($B$18,'[1]Lista suspensa'!$A$4:$S$10,15,0)</f>
        <v>1.23E-2</v>
      </c>
      <c r="G21" s="32">
        <f>VLOOKUP($B$18,'[1]Lista suspensa'!$A$4:$S$10,16,0)</f>
        <v>1.3899999999999999E-2</v>
      </c>
      <c r="H21" s="149">
        <v>5.8999999999999999E-3</v>
      </c>
      <c r="I21" s="149"/>
    </row>
    <row r="22" spans="2:9">
      <c r="B22" s="145"/>
      <c r="C22" s="146"/>
      <c r="D22" s="35" t="s">
        <v>337</v>
      </c>
      <c r="E22" s="32">
        <f>VLOOKUP($B$18,'[1]Lista suspensa'!$A$4:$S$10,17,0)</f>
        <v>6.1600000000000002E-2</v>
      </c>
      <c r="F22" s="32">
        <f>VLOOKUP($B$18,'[1]Lista suspensa'!$A$4:$S$10,18,0)</f>
        <v>7.3999999999999996E-2</v>
      </c>
      <c r="G22" s="32">
        <f>VLOOKUP($B$18,'[1]Lista suspensa'!$A$4:$S$10,19,0)</f>
        <v>8.9599999999999999E-2</v>
      </c>
      <c r="H22" s="149">
        <v>6.9900000000000004E-2</v>
      </c>
      <c r="I22" s="149"/>
    </row>
    <row r="23" spans="2:9">
      <c r="B23" s="145"/>
      <c r="C23" s="146"/>
      <c r="D23" s="36" t="s">
        <v>336</v>
      </c>
      <c r="E23" s="150" t="s">
        <v>335</v>
      </c>
      <c r="F23" s="151"/>
      <c r="G23" s="152"/>
      <c r="H23" s="159">
        <f>IF(D12="Com desoneração",SUM($H$24:$I$26)+J12,IF(D12="Sem desoneração",SUM(H24:H26),IF(D12="","","ERRO")))</f>
        <v>0.1115</v>
      </c>
      <c r="I23" s="159"/>
    </row>
    <row r="24" spans="2:9">
      <c r="B24" s="145"/>
      <c r="C24" s="146"/>
      <c r="D24" s="35" t="s">
        <v>334</v>
      </c>
      <c r="E24" s="153"/>
      <c r="F24" s="154"/>
      <c r="G24" s="155"/>
      <c r="H24" s="160">
        <v>0.03</v>
      </c>
      <c r="I24" s="161"/>
    </row>
    <row r="25" spans="2:9">
      <c r="B25" s="145"/>
      <c r="C25" s="146"/>
      <c r="D25" s="35" t="s">
        <v>333</v>
      </c>
      <c r="E25" s="153"/>
      <c r="F25" s="154"/>
      <c r="G25" s="155"/>
      <c r="H25" s="160">
        <v>6.4999999999999997E-3</v>
      </c>
      <c r="I25" s="161"/>
    </row>
    <row r="26" spans="2:9">
      <c r="B26" s="145"/>
      <c r="C26" s="146"/>
      <c r="D26" s="35" t="s">
        <v>332</v>
      </c>
      <c r="E26" s="156"/>
      <c r="F26" s="157"/>
      <c r="G26" s="158"/>
      <c r="H26" s="160">
        <f>H9*H10</f>
        <v>0.03</v>
      </c>
      <c r="I26" s="161"/>
    </row>
    <row r="27" spans="2:9">
      <c r="B27" s="145"/>
      <c r="C27" s="146"/>
      <c r="D27" s="35" t="s">
        <v>331</v>
      </c>
      <c r="E27" s="34" t="str">
        <f>IF($D$12="Com desoneração","4,5%","-")</f>
        <v>4,5%</v>
      </c>
      <c r="F27" s="34" t="str">
        <f>IF($D$12="Com desoneração","4,5%","-")</f>
        <v>4,5%</v>
      </c>
      <c r="G27" s="34" t="str">
        <f>IF($D$12="Com desoneração","4,5%","-")</f>
        <v>4,5%</v>
      </c>
      <c r="H27" s="162" t="str">
        <f>IF($D$12="Com desoneração","4,5%","-")</f>
        <v>4,5%</v>
      </c>
      <c r="I27" s="163"/>
    </row>
    <row r="28" spans="2:9">
      <c r="B28" s="147"/>
      <c r="C28" s="148"/>
      <c r="D28" s="33" t="s">
        <v>330</v>
      </c>
      <c r="E28" s="32">
        <f>VLOOKUP($B$18,'[1]Lista suspensa'!$A$4:$S$10,2,0)</f>
        <v>0.2034</v>
      </c>
      <c r="F28" s="32">
        <f>VLOOKUP($B$18,'[1]Lista suspensa'!$A$4:$S$10,3,0)</f>
        <v>0.22120000000000001</v>
      </c>
      <c r="G28" s="32">
        <f>VLOOKUP($B$18,'[1]Lista suspensa'!$A$4:$S$10,4,0)</f>
        <v>0.25</v>
      </c>
      <c r="H28" s="164">
        <f>IFERROR((((1+H18+H19+H20)*(1+H21)*(1+H22))/(1-H23))-1,"0")</f>
        <v>0.28442953242993818</v>
      </c>
      <c r="I28" s="165"/>
    </row>
    <row r="29" spans="2:9" ht="13.8" thickBot="1">
      <c r="B29" s="31"/>
      <c r="C29" s="31"/>
      <c r="D29" s="31"/>
      <c r="E29" s="31"/>
      <c r="F29" s="31"/>
      <c r="G29" s="31"/>
      <c r="H29" s="31"/>
      <c r="I29" s="31"/>
    </row>
    <row r="30" spans="2:9" ht="18" customHeight="1" thickBot="1">
      <c r="B30" s="166" t="s">
        <v>329</v>
      </c>
      <c r="C30" s="167"/>
      <c r="D30" s="167"/>
      <c r="E30" s="167"/>
      <c r="F30" s="167"/>
      <c r="G30" s="167"/>
      <c r="H30" s="168"/>
      <c r="I30" s="30"/>
    </row>
    <row r="31" spans="2:9" ht="14.25" customHeight="1">
      <c r="B31" s="141"/>
      <c r="C31" s="141"/>
      <c r="D31" s="141"/>
      <c r="E31" s="141"/>
      <c r="F31" s="141"/>
      <c r="G31" s="141"/>
      <c r="H31" s="141"/>
      <c r="I31" s="141"/>
    </row>
    <row r="32" spans="2:9" ht="14.25" customHeight="1">
      <c r="B32" s="29"/>
      <c r="C32" s="29"/>
      <c r="D32" s="29"/>
      <c r="E32" s="29"/>
      <c r="F32" s="29"/>
      <c r="G32" s="29"/>
      <c r="H32" s="29"/>
      <c r="I32" s="29"/>
    </row>
    <row r="33" spans="2:13" ht="14.25" customHeight="1">
      <c r="B33" s="28"/>
      <c r="C33" s="142" t="s">
        <v>328</v>
      </c>
      <c r="D33" s="142"/>
      <c r="E33" s="142"/>
      <c r="F33" s="142"/>
      <c r="G33" s="142"/>
      <c r="H33" s="142"/>
      <c r="I33" s="26"/>
      <c r="J33" s="25"/>
      <c r="K33" s="25"/>
      <c r="L33" s="25"/>
      <c r="M33" s="25"/>
    </row>
    <row r="34" spans="2:13" ht="11.25" customHeight="1">
      <c r="B34" s="22"/>
      <c r="C34" s="142"/>
      <c r="D34" s="142"/>
      <c r="E34" s="142"/>
      <c r="F34" s="142"/>
      <c r="G34" s="142"/>
      <c r="H34" s="142"/>
      <c r="I34" s="26"/>
      <c r="J34" s="25"/>
      <c r="K34" s="25"/>
      <c r="L34" s="25"/>
      <c r="M34" s="25"/>
    </row>
    <row r="35" spans="2:13" ht="11.25" customHeight="1">
      <c r="B35" s="22"/>
      <c r="C35" s="142"/>
      <c r="D35" s="142"/>
      <c r="E35" s="142"/>
      <c r="F35" s="142"/>
      <c r="G35" s="142"/>
      <c r="H35" s="142"/>
      <c r="I35" s="26"/>
      <c r="J35" s="25"/>
      <c r="K35" s="25"/>
      <c r="L35" s="25"/>
      <c r="M35" s="25"/>
    </row>
    <row r="36" spans="2:13" ht="11.25" customHeight="1">
      <c r="B36" s="22"/>
      <c r="C36" s="27"/>
      <c r="D36" s="27"/>
      <c r="E36" s="27"/>
      <c r="F36" s="27"/>
      <c r="G36" s="27"/>
      <c r="H36" s="27"/>
      <c r="I36" s="26"/>
      <c r="J36" s="25"/>
      <c r="K36" s="25"/>
      <c r="L36" s="25"/>
      <c r="M36" s="25"/>
    </row>
    <row r="37" spans="2:13" ht="11.25" customHeight="1">
      <c r="B37" s="22"/>
      <c r="C37" s="27"/>
      <c r="D37" s="27"/>
      <c r="E37" s="27"/>
      <c r="F37" s="27"/>
      <c r="G37" s="27"/>
      <c r="H37" s="27"/>
      <c r="I37" s="26"/>
      <c r="J37" s="25"/>
      <c r="K37" s="25"/>
      <c r="L37" s="25"/>
      <c r="M37" s="25"/>
    </row>
    <row r="38" spans="2:13" ht="11.25" customHeight="1">
      <c r="B38" s="22"/>
      <c r="C38" s="26"/>
      <c r="D38" s="26"/>
      <c r="E38" s="26"/>
      <c r="F38" s="26"/>
      <c r="G38" s="26"/>
      <c r="H38" s="26"/>
      <c r="I38" s="26"/>
      <c r="J38" s="25"/>
      <c r="K38" s="25"/>
      <c r="L38" s="25"/>
      <c r="M38" s="25"/>
    </row>
    <row r="39" spans="2:13" ht="11.25" customHeight="1">
      <c r="B39" s="22"/>
      <c r="C39" s="137"/>
      <c r="D39" s="137"/>
      <c r="E39" s="24"/>
      <c r="F39" s="137"/>
      <c r="G39" s="137"/>
      <c r="H39" s="23"/>
      <c r="I39" s="22"/>
    </row>
    <row r="40" spans="2:13">
      <c r="B40" s="22"/>
      <c r="C40" s="138" t="s">
        <v>327</v>
      </c>
      <c r="D40" s="138"/>
      <c r="E40" s="24"/>
      <c r="F40" s="139" t="s">
        <v>326</v>
      </c>
      <c r="G40" s="139"/>
      <c r="H40" s="23"/>
      <c r="I40" s="22"/>
    </row>
    <row r="41" spans="2:13" hidden="1">
      <c r="C41" s="21"/>
      <c r="D41" s="21"/>
      <c r="E41" s="21"/>
      <c r="F41" s="21"/>
      <c r="G41" s="21"/>
    </row>
    <row r="42" spans="2:13">
      <c r="C42" s="21"/>
      <c r="D42" s="21"/>
      <c r="E42" s="21"/>
      <c r="F42" s="21"/>
      <c r="G42" s="21"/>
    </row>
    <row r="43" spans="2:13">
      <c r="C43" s="21"/>
      <c r="D43" s="21"/>
      <c r="E43" s="21"/>
      <c r="F43" s="21"/>
      <c r="G43" s="21"/>
    </row>
    <row r="44" spans="2:13" ht="11.25" customHeight="1">
      <c r="B44" s="22"/>
      <c r="C44" s="137"/>
      <c r="D44" s="137"/>
      <c r="E44" s="24"/>
      <c r="F44" s="140"/>
      <c r="G44" s="140"/>
      <c r="H44" s="23"/>
      <c r="I44" s="22"/>
    </row>
    <row r="45" spans="2:13" ht="12" customHeight="1"/>
    <row r="46" spans="2:13" ht="14.1" customHeight="1"/>
    <row r="47" spans="2:13" ht="4.5" customHeight="1"/>
  </sheetData>
  <sheetProtection algorithmName="SHA-512" hashValue="vv3fVXV3A93w4KAMfvZAnnLEMBEfGGTmqZ1eDT6QDGos7vZ+ay28PSsNKmNFAY95Vf2ctRbA7a9ddFAyHbrIPA==" saltValue="5ccYgfKQ6J0jOhCEG/i0MQ==" spinCount="100000" sheet="1" objects="1" scenarios="1" insertRows="0" deleteRows="0" selectLockedCells="1"/>
  <mergeCells count="51">
    <mergeCell ref="B6:C6"/>
    <mergeCell ref="D6:G6"/>
    <mergeCell ref="B1:C1"/>
    <mergeCell ref="D1:I1"/>
    <mergeCell ref="B2:I2"/>
    <mergeCell ref="B3:I3"/>
    <mergeCell ref="B4:I4"/>
    <mergeCell ref="B7:C7"/>
    <mergeCell ref="D7:I7"/>
    <mergeCell ref="B8:C8"/>
    <mergeCell ref="G8:I8"/>
    <mergeCell ref="B9:C10"/>
    <mergeCell ref="D9:D10"/>
    <mergeCell ref="E9:G9"/>
    <mergeCell ref="H9:I9"/>
    <mergeCell ref="E10:G10"/>
    <mergeCell ref="H10:I10"/>
    <mergeCell ref="B11:C11"/>
    <mergeCell ref="E11:F11"/>
    <mergeCell ref="G11:I11"/>
    <mergeCell ref="B12:C12"/>
    <mergeCell ref="E12:F12"/>
    <mergeCell ref="G12:I12"/>
    <mergeCell ref="B13:I13"/>
    <mergeCell ref="B14:I14"/>
    <mergeCell ref="B16:C17"/>
    <mergeCell ref="D16:D17"/>
    <mergeCell ref="E16:G16"/>
    <mergeCell ref="H16:I17"/>
    <mergeCell ref="B31:I31"/>
    <mergeCell ref="C33:H35"/>
    <mergeCell ref="B18:C28"/>
    <mergeCell ref="H18:I18"/>
    <mergeCell ref="H19:I19"/>
    <mergeCell ref="H20:I20"/>
    <mergeCell ref="H21:I21"/>
    <mergeCell ref="H22:I22"/>
    <mergeCell ref="E23:G26"/>
    <mergeCell ref="H23:I23"/>
    <mergeCell ref="H24:I24"/>
    <mergeCell ref="H25:I25"/>
    <mergeCell ref="H26:I26"/>
    <mergeCell ref="H27:I27"/>
    <mergeCell ref="H28:I28"/>
    <mergeCell ref="B30:H30"/>
    <mergeCell ref="C39:D39"/>
    <mergeCell ref="F39:G39"/>
    <mergeCell ref="C40:D40"/>
    <mergeCell ref="F40:G40"/>
    <mergeCell ref="C44:D44"/>
    <mergeCell ref="F44:G44"/>
  </mergeCells>
  <conditionalFormatting sqref="D8:D11">
    <cfRule type="containsBlanks" dxfId="18" priority="19">
      <formula>LEN(TRIM(D8))=0</formula>
    </cfRule>
  </conditionalFormatting>
  <conditionalFormatting sqref="D7:I7">
    <cfRule type="containsBlanks" dxfId="17" priority="18">
      <formula>LEN(TRIM(D7))=0</formula>
    </cfRule>
  </conditionalFormatting>
  <conditionalFormatting sqref="D6:G6">
    <cfRule type="containsBlanks" dxfId="16" priority="17">
      <formula>LEN(TRIM(D6))=0</formula>
    </cfRule>
  </conditionalFormatting>
  <conditionalFormatting sqref="I6">
    <cfRule type="containsText" dxfId="15" priority="16" operator="containsText" text="XX/XX/XXXX">
      <formula>NOT(ISERROR(SEARCH("XX/XX/XXXX",I6)))</formula>
    </cfRule>
  </conditionalFormatting>
  <conditionalFormatting sqref="H9:I10">
    <cfRule type="containsBlanks" dxfId="14" priority="15">
      <formula>LEN(TRIM(H9))=0</formula>
    </cfRule>
  </conditionalFormatting>
  <conditionalFormatting sqref="H18:I22">
    <cfRule type="containsBlanks" dxfId="13" priority="3">
      <formula>LEN(TRIM(H18))=0</formula>
    </cfRule>
  </conditionalFormatting>
  <conditionalFormatting sqref="D12">
    <cfRule type="containsBlanks" dxfId="12" priority="13">
      <formula>LEN(TRIM(D12))=0</formula>
    </cfRule>
  </conditionalFormatting>
  <conditionalFormatting sqref="H18:I18">
    <cfRule type="cellIs" dxfId="11" priority="12" operator="lessThan">
      <formula>$E$18</formula>
    </cfRule>
    <cfRule type="cellIs" dxfId="10" priority="14" operator="greaterThan">
      <formula>$G$18</formula>
    </cfRule>
  </conditionalFormatting>
  <conditionalFormatting sqref="H19:I19">
    <cfRule type="cellIs" dxfId="9" priority="10" operator="lessThan">
      <formula>$E$19</formula>
    </cfRule>
    <cfRule type="cellIs" dxfId="8" priority="11" operator="greaterThan">
      <formula>$G$19</formula>
    </cfRule>
  </conditionalFormatting>
  <conditionalFormatting sqref="H20:I20">
    <cfRule type="cellIs" dxfId="7" priority="8" operator="lessThan">
      <formula>$E$20</formula>
    </cfRule>
    <cfRule type="cellIs" dxfId="6" priority="9" operator="greaterThan">
      <formula>$G$20</formula>
    </cfRule>
  </conditionalFormatting>
  <conditionalFormatting sqref="H21:I21">
    <cfRule type="cellIs" dxfId="5" priority="6" operator="lessThan">
      <formula>$E$21</formula>
    </cfRule>
    <cfRule type="cellIs" dxfId="4" priority="7" operator="greaterThan">
      <formula>$G$21</formula>
    </cfRule>
  </conditionalFormatting>
  <conditionalFormatting sqref="H22:I22">
    <cfRule type="cellIs" dxfId="3" priority="4" operator="greaterThan">
      <formula>$G$22</formula>
    </cfRule>
    <cfRule type="cellIs" dxfId="2" priority="5" operator="lessThan">
      <formula>$E$22</formula>
    </cfRule>
  </conditionalFormatting>
  <conditionalFormatting sqref="H28:I28">
    <cfRule type="cellIs" dxfId="1" priority="1" operator="greaterThanOrEqual">
      <formula>$G$28</formula>
    </cfRule>
    <cfRule type="cellIs" dxfId="0" priority="2" operator="lessThan">
      <formula>$E$28</formula>
    </cfRule>
  </conditionalFormatting>
  <hyperlinks>
    <hyperlink ref="E16:G16" r:id="rId1" location="/redireciona/acordao-completo/%22ACORDAO-COMPLETO-1286063%22" display="VALORES DE REFERÊNCIA  (%)     Acórdão 2622/2013-TCU-Plenário"/>
  </hyperlinks>
  <printOptions horizontalCentered="1"/>
  <pageMargins left="0.78740157480314965" right="0.19685039370078741" top="0.39370078740157483" bottom="0.39370078740157483" header="0" footer="0"/>
  <pageSetup paperSize="9" scale="77" orientation="landscape" horizontalDpi="4294967295"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164"/>
  <sheetViews>
    <sheetView view="pageBreakPreview" zoomScaleNormal="100" zoomScaleSheetLayoutView="100" workbookViewId="0">
      <selection activeCell="C13" sqref="C13"/>
    </sheetView>
  </sheetViews>
  <sheetFormatPr defaultRowHeight="14.4"/>
  <cols>
    <col min="1" max="1" width="10.109375" customWidth="1"/>
    <col min="2" max="2" width="10.88671875" customWidth="1"/>
    <col min="3" max="3" width="46.44140625" customWidth="1"/>
    <col min="4" max="4" width="10" customWidth="1"/>
    <col min="5" max="5" width="7.44140625" customWidth="1"/>
    <col min="6" max="6" width="13.109375" customWidth="1"/>
    <col min="7" max="8" width="10" customWidth="1"/>
    <col min="9" max="9" width="11" customWidth="1"/>
    <col min="10" max="10" width="10.88671875" customWidth="1"/>
  </cols>
  <sheetData>
    <row r="1" spans="1:12" ht="67.5" customHeight="1">
      <c r="A1" s="105"/>
      <c r="B1" s="105"/>
      <c r="C1" s="105"/>
      <c r="D1" s="105"/>
      <c r="E1" s="105"/>
      <c r="F1" s="105"/>
      <c r="G1" s="105"/>
      <c r="H1" s="105"/>
      <c r="I1" s="105"/>
      <c r="J1" s="105"/>
    </row>
    <row r="2" spans="1:12" ht="15.6">
      <c r="A2" s="242" t="s">
        <v>503</v>
      </c>
      <c r="B2" s="129"/>
      <c r="C2" s="129"/>
      <c r="D2" s="129"/>
      <c r="E2" s="129"/>
      <c r="F2" s="129"/>
      <c r="G2" s="129"/>
      <c r="H2" s="129"/>
      <c r="I2" s="129"/>
      <c r="J2" s="243"/>
    </row>
    <row r="3" spans="1:12">
      <c r="A3" s="14" t="s">
        <v>312</v>
      </c>
      <c r="B3" s="15"/>
      <c r="C3" s="15"/>
      <c r="D3" s="15"/>
      <c r="E3" s="15"/>
      <c r="F3" s="16"/>
      <c r="G3" s="224" t="s">
        <v>470</v>
      </c>
      <c r="H3" s="225"/>
      <c r="I3" s="225"/>
      <c r="J3" s="226"/>
    </row>
    <row r="4" spans="1:12">
      <c r="A4" s="17" t="s">
        <v>313</v>
      </c>
      <c r="B4" s="18"/>
      <c r="C4" s="18"/>
      <c r="D4" s="18"/>
      <c r="E4" s="18"/>
      <c r="F4" s="19"/>
      <c r="G4" s="227"/>
      <c r="H4" s="228"/>
      <c r="I4" s="228"/>
      <c r="J4" s="229"/>
    </row>
    <row r="5" spans="1:12">
      <c r="A5" s="17" t="s">
        <v>548</v>
      </c>
      <c r="B5" s="18"/>
      <c r="C5" s="18"/>
      <c r="D5" s="18"/>
      <c r="E5" s="18"/>
      <c r="F5" s="19"/>
      <c r="G5" s="227"/>
      <c r="H5" s="228"/>
      <c r="I5" s="228"/>
      <c r="J5" s="229"/>
    </row>
    <row r="6" spans="1:12" ht="18.75" customHeight="1">
      <c r="A6" s="244" t="s">
        <v>314</v>
      </c>
      <c r="B6" s="126"/>
      <c r="C6" s="126"/>
      <c r="D6" s="126"/>
      <c r="E6" s="126"/>
      <c r="F6" s="127"/>
      <c r="G6" s="227"/>
      <c r="H6" s="228"/>
      <c r="I6" s="228"/>
      <c r="J6" s="229"/>
    </row>
    <row r="7" spans="1:12" ht="16.5" customHeight="1">
      <c r="A7" s="245" t="s">
        <v>315</v>
      </c>
      <c r="B7" s="120"/>
      <c r="C7" s="120"/>
      <c r="D7" s="120"/>
      <c r="E7" s="120"/>
      <c r="F7" s="121"/>
      <c r="G7" s="230"/>
      <c r="H7" s="231"/>
      <c r="I7" s="231"/>
      <c r="J7" s="232"/>
    </row>
    <row r="8" spans="1:12" ht="12" customHeight="1">
      <c r="A8" s="108" t="s">
        <v>0</v>
      </c>
      <c r="B8" s="108" t="s">
        <v>1</v>
      </c>
      <c r="C8" s="108" t="s">
        <v>2</v>
      </c>
      <c r="D8" s="108" t="s">
        <v>3</v>
      </c>
      <c r="E8" s="108" t="s">
        <v>4</v>
      </c>
      <c r="F8" s="108" t="s">
        <v>5</v>
      </c>
      <c r="G8" s="233" t="s">
        <v>471</v>
      </c>
      <c r="H8" s="234"/>
      <c r="I8" s="234"/>
      <c r="J8" s="235"/>
    </row>
    <row r="9" spans="1:12" ht="9.9" customHeight="1">
      <c r="A9" s="109"/>
      <c r="B9" s="109"/>
      <c r="C9" s="109"/>
      <c r="D9" s="109"/>
      <c r="E9" s="109"/>
      <c r="F9" s="109"/>
      <c r="G9" s="236"/>
      <c r="H9" s="237"/>
      <c r="I9" s="237"/>
      <c r="J9" s="238"/>
    </row>
    <row r="10" spans="1:12" ht="12.75" customHeight="1">
      <c r="A10" s="9" t="s">
        <v>10</v>
      </c>
      <c r="B10" s="239" t="s">
        <v>508</v>
      </c>
      <c r="C10" s="240"/>
      <c r="D10" s="240"/>
      <c r="E10" s="240"/>
      <c r="F10" s="240"/>
      <c r="G10" s="240"/>
      <c r="H10" s="240"/>
      <c r="I10" s="240"/>
      <c r="J10" s="241"/>
    </row>
    <row r="11" spans="1:12" ht="10.5" customHeight="1">
      <c r="A11" s="8" t="s">
        <v>11</v>
      </c>
      <c r="B11" s="220" t="s">
        <v>12</v>
      </c>
      <c r="C11" s="221"/>
      <c r="D11" s="221"/>
      <c r="E11" s="221"/>
      <c r="F11" s="221"/>
      <c r="G11" s="221"/>
      <c r="H11" s="221"/>
      <c r="I11" s="221"/>
      <c r="J11" s="222"/>
    </row>
    <row r="12" spans="1:12" ht="69.599999999999994" customHeight="1">
      <c r="A12" s="2" t="s">
        <v>13</v>
      </c>
      <c r="B12" s="3" t="s">
        <v>14</v>
      </c>
      <c r="C12" s="2" t="s">
        <v>15</v>
      </c>
      <c r="D12" s="3" t="s">
        <v>16</v>
      </c>
      <c r="E12" s="3" t="s">
        <v>17</v>
      </c>
      <c r="F12" s="4">
        <v>1</v>
      </c>
      <c r="G12" s="211" t="s">
        <v>472</v>
      </c>
      <c r="H12" s="212"/>
      <c r="I12" s="212"/>
      <c r="J12" s="213"/>
      <c r="L12" s="45"/>
    </row>
    <row r="13" spans="1:12">
      <c r="A13" s="2" t="s">
        <v>429</v>
      </c>
      <c r="B13" s="3" t="s">
        <v>18</v>
      </c>
      <c r="C13" s="2" t="s">
        <v>19</v>
      </c>
      <c r="D13" s="3" t="s">
        <v>16</v>
      </c>
      <c r="E13" s="3" t="s">
        <v>20</v>
      </c>
      <c r="F13" s="4">
        <f>8.1*7.15</f>
        <v>57.914999999999999</v>
      </c>
      <c r="G13" s="211" t="s">
        <v>473</v>
      </c>
      <c r="H13" s="212"/>
      <c r="I13" s="212"/>
      <c r="J13" s="213"/>
    </row>
    <row r="14" spans="1:12" ht="15" customHeight="1">
      <c r="A14" s="8" t="s">
        <v>21</v>
      </c>
      <c r="B14" s="220" t="s">
        <v>22</v>
      </c>
      <c r="C14" s="221"/>
      <c r="D14" s="221"/>
      <c r="E14" s="221"/>
      <c r="F14" s="221"/>
      <c r="G14" s="221"/>
      <c r="H14" s="221"/>
      <c r="I14" s="221"/>
      <c r="J14" s="222"/>
    </row>
    <row r="15" spans="1:12" ht="34.200000000000003">
      <c r="A15" s="2" t="s">
        <v>23</v>
      </c>
      <c r="B15" s="3" t="s">
        <v>24</v>
      </c>
      <c r="C15" s="2" t="s">
        <v>25</v>
      </c>
      <c r="D15" s="3" t="s">
        <v>16</v>
      </c>
      <c r="E15" s="3" t="s">
        <v>20</v>
      </c>
      <c r="F15" s="4">
        <f>15*15</f>
        <v>225</v>
      </c>
      <c r="G15" s="211" t="s">
        <v>474</v>
      </c>
      <c r="H15" s="212"/>
      <c r="I15" s="212"/>
      <c r="J15" s="213"/>
      <c r="L15" s="45"/>
    </row>
    <row r="16" spans="1:12" ht="20.100000000000001" customHeight="1">
      <c r="A16" s="8" t="s">
        <v>26</v>
      </c>
      <c r="B16" s="220" t="s">
        <v>27</v>
      </c>
      <c r="C16" s="221"/>
      <c r="D16" s="221"/>
      <c r="E16" s="221"/>
      <c r="F16" s="221"/>
      <c r="G16" s="221"/>
      <c r="H16" s="221"/>
      <c r="I16" s="221"/>
      <c r="J16" s="222"/>
    </row>
    <row r="17" spans="1:10">
      <c r="A17" s="2" t="s">
        <v>28</v>
      </c>
      <c r="B17" s="3" t="s">
        <v>29</v>
      </c>
      <c r="C17" s="2" t="s">
        <v>30</v>
      </c>
      <c r="D17" s="3" t="s">
        <v>16</v>
      </c>
      <c r="E17" s="3" t="s">
        <v>31</v>
      </c>
      <c r="F17" s="4">
        <f>14*0.6*0.6*0.6+42.14*0.2*0.15</f>
        <v>4.2881999999999998</v>
      </c>
      <c r="G17" s="211" t="s">
        <v>475</v>
      </c>
      <c r="H17" s="212"/>
      <c r="I17" s="212"/>
      <c r="J17" s="213"/>
    </row>
    <row r="18" spans="1:10" ht="24.75" customHeight="1">
      <c r="A18" s="2" t="s">
        <v>32</v>
      </c>
      <c r="B18" s="3" t="s">
        <v>33</v>
      </c>
      <c r="C18" s="2" t="s">
        <v>34</v>
      </c>
      <c r="D18" s="3" t="s">
        <v>16</v>
      </c>
      <c r="E18" s="3" t="s">
        <v>20</v>
      </c>
      <c r="F18" s="4">
        <f>14*0.6*0.6+42.14*0.15</f>
        <v>11.361000000000001</v>
      </c>
      <c r="G18" s="211" t="s">
        <v>476</v>
      </c>
      <c r="H18" s="212"/>
      <c r="I18" s="212"/>
      <c r="J18" s="213"/>
    </row>
    <row r="19" spans="1:10" ht="22.8">
      <c r="A19" s="2" t="s">
        <v>35</v>
      </c>
      <c r="B19" s="3" t="s">
        <v>36</v>
      </c>
      <c r="C19" s="2" t="s">
        <v>37</v>
      </c>
      <c r="D19" s="3" t="s">
        <v>38</v>
      </c>
      <c r="E19" s="3" t="s">
        <v>39</v>
      </c>
      <c r="F19" s="4">
        <f>8.1*7.15*0.25</f>
        <v>14.47875</v>
      </c>
      <c r="G19" s="211" t="s">
        <v>477</v>
      </c>
      <c r="H19" s="212"/>
      <c r="I19" s="212"/>
      <c r="J19" s="213"/>
    </row>
    <row r="20" spans="1:10" ht="22.8">
      <c r="A20" s="2" t="s">
        <v>40</v>
      </c>
      <c r="B20" s="3" t="s">
        <v>41</v>
      </c>
      <c r="C20" s="2" t="s">
        <v>42</v>
      </c>
      <c r="D20" s="3" t="s">
        <v>16</v>
      </c>
      <c r="E20" s="3" t="s">
        <v>31</v>
      </c>
      <c r="F20" s="4">
        <f>14*0.6*0.6*0.05+42.14*0.2*0.15*0.05</f>
        <v>0.31520999999999999</v>
      </c>
      <c r="G20" s="211" t="s">
        <v>478</v>
      </c>
      <c r="H20" s="212"/>
      <c r="I20" s="212"/>
      <c r="J20" s="213"/>
    </row>
    <row r="21" spans="1:10" ht="45.6">
      <c r="A21" s="2" t="s">
        <v>43</v>
      </c>
      <c r="B21" s="3" t="s">
        <v>44</v>
      </c>
      <c r="C21" s="2" t="s">
        <v>45</v>
      </c>
      <c r="D21" s="3" t="s">
        <v>16</v>
      </c>
      <c r="E21" s="3" t="s">
        <v>31</v>
      </c>
      <c r="F21" s="4">
        <f>14*0.6*0.6*0.6+42.14*0.2*0.15</f>
        <v>4.2881999999999998</v>
      </c>
      <c r="G21" s="211" t="s">
        <v>475</v>
      </c>
      <c r="H21" s="212"/>
      <c r="I21" s="212"/>
      <c r="J21" s="213"/>
    </row>
    <row r="22" spans="1:10">
      <c r="A22" s="2" t="s">
        <v>46</v>
      </c>
      <c r="B22" s="3" t="s">
        <v>47</v>
      </c>
      <c r="C22" s="2" t="s">
        <v>48</v>
      </c>
      <c r="D22" s="3" t="s">
        <v>16</v>
      </c>
      <c r="E22" s="3" t="s">
        <v>49</v>
      </c>
      <c r="F22" s="4">
        <f>102</f>
        <v>102</v>
      </c>
      <c r="G22" s="211" t="s">
        <v>479</v>
      </c>
      <c r="H22" s="212"/>
      <c r="I22" s="212"/>
      <c r="J22" s="213"/>
    </row>
    <row r="23" spans="1:10" ht="22.8">
      <c r="A23" s="2" t="s">
        <v>50</v>
      </c>
      <c r="B23" s="3" t="s">
        <v>51</v>
      </c>
      <c r="C23" s="2" t="s">
        <v>52</v>
      </c>
      <c r="D23" s="3" t="s">
        <v>38</v>
      </c>
      <c r="E23" s="3" t="s">
        <v>53</v>
      </c>
      <c r="F23" s="4">
        <f>42.14*0.15+42.14*2*0.2</f>
        <v>23.177</v>
      </c>
      <c r="G23" s="211" t="s">
        <v>480</v>
      </c>
      <c r="H23" s="212"/>
      <c r="I23" s="212"/>
      <c r="J23" s="213"/>
    </row>
    <row r="24" spans="1:10" ht="34.200000000000003">
      <c r="A24" s="2" t="s">
        <v>54</v>
      </c>
      <c r="B24" s="3" t="s">
        <v>55</v>
      </c>
      <c r="C24" s="2" t="s">
        <v>56</v>
      </c>
      <c r="D24" s="3" t="s">
        <v>38</v>
      </c>
      <c r="E24" s="3" t="s">
        <v>53</v>
      </c>
      <c r="F24" s="4">
        <f>42.14*2*0.2</f>
        <v>16.856000000000002</v>
      </c>
      <c r="G24" s="211" t="s">
        <v>481</v>
      </c>
      <c r="H24" s="212"/>
      <c r="I24" s="212"/>
      <c r="J24" s="213"/>
    </row>
    <row r="25" spans="1:10" ht="20.100000000000001" customHeight="1">
      <c r="A25" s="8" t="s">
        <v>57</v>
      </c>
      <c r="B25" s="220" t="s">
        <v>58</v>
      </c>
      <c r="C25" s="221"/>
      <c r="D25" s="221"/>
      <c r="E25" s="221"/>
      <c r="F25" s="221"/>
      <c r="G25" s="221"/>
      <c r="H25" s="221"/>
      <c r="I25" s="221"/>
      <c r="J25" s="222"/>
    </row>
    <row r="26" spans="1:10" ht="34.200000000000003">
      <c r="A26" s="2" t="s">
        <v>59</v>
      </c>
      <c r="B26" s="3" t="s">
        <v>60</v>
      </c>
      <c r="C26" s="2" t="s">
        <v>61</v>
      </c>
      <c r="D26" s="3" t="s">
        <v>16</v>
      </c>
      <c r="E26" s="3" t="s">
        <v>31</v>
      </c>
      <c r="F26" s="4">
        <f>14*4.3*0.09*0.35+43.96*0.09*0.3</f>
        <v>3.0832199999999998</v>
      </c>
      <c r="G26" s="211" t="s">
        <v>482</v>
      </c>
      <c r="H26" s="212"/>
      <c r="I26" s="212"/>
      <c r="J26" s="213"/>
    </row>
    <row r="27" spans="1:10" ht="63" customHeight="1">
      <c r="A27" s="2" t="s">
        <v>367</v>
      </c>
      <c r="B27" s="3" t="s">
        <v>62</v>
      </c>
      <c r="C27" s="2" t="s">
        <v>63</v>
      </c>
      <c r="D27" s="3" t="s">
        <v>38</v>
      </c>
      <c r="E27" s="3" t="s">
        <v>53</v>
      </c>
      <c r="F27" s="4">
        <f>14*3*2*0.35+43.96*0.3</f>
        <v>42.588000000000001</v>
      </c>
      <c r="G27" s="211" t="s">
        <v>483</v>
      </c>
      <c r="H27" s="212"/>
      <c r="I27" s="212"/>
      <c r="J27" s="213"/>
    </row>
    <row r="28" spans="1:10" ht="34.200000000000003">
      <c r="A28" s="2" t="s">
        <v>368</v>
      </c>
      <c r="B28" s="3" t="s">
        <v>64</v>
      </c>
      <c r="C28" s="2" t="s">
        <v>65</v>
      </c>
      <c r="D28" s="3" t="s">
        <v>16</v>
      </c>
      <c r="E28" s="3" t="s">
        <v>20</v>
      </c>
      <c r="F28" s="4">
        <f>39.15*2.7+1*2*3.2+30.5*1.3</f>
        <v>151.755</v>
      </c>
      <c r="G28" s="211" t="s">
        <v>484</v>
      </c>
      <c r="H28" s="212"/>
      <c r="I28" s="212"/>
      <c r="J28" s="213"/>
    </row>
    <row r="29" spans="1:10" ht="22.8">
      <c r="A29" s="2" t="s">
        <v>369</v>
      </c>
      <c r="B29" s="3" t="s">
        <v>66</v>
      </c>
      <c r="C29" s="2" t="s">
        <v>67</v>
      </c>
      <c r="D29" s="3" t="s">
        <v>16</v>
      </c>
      <c r="E29" s="3" t="s">
        <v>20</v>
      </c>
      <c r="F29" s="4">
        <f>8.1*7.15</f>
        <v>57.914999999999999</v>
      </c>
      <c r="G29" s="211" t="s">
        <v>473</v>
      </c>
      <c r="H29" s="212"/>
      <c r="I29" s="212"/>
      <c r="J29" s="213"/>
    </row>
    <row r="30" spans="1:10" ht="34.200000000000003">
      <c r="A30" s="2" t="s">
        <v>370</v>
      </c>
      <c r="B30" s="3" t="s">
        <v>68</v>
      </c>
      <c r="C30" s="2" t="s">
        <v>69</v>
      </c>
      <c r="D30" s="3" t="s">
        <v>16</v>
      </c>
      <c r="E30" s="3" t="s">
        <v>20</v>
      </c>
      <c r="F30" s="4">
        <f>8.1*7.15</f>
        <v>57.914999999999999</v>
      </c>
      <c r="G30" s="211" t="s">
        <v>473</v>
      </c>
      <c r="H30" s="212"/>
      <c r="I30" s="212"/>
      <c r="J30" s="213"/>
    </row>
    <row r="31" spans="1:10" ht="20.100000000000001" customHeight="1">
      <c r="A31" s="8" t="s">
        <v>70</v>
      </c>
      <c r="B31" s="220" t="s">
        <v>71</v>
      </c>
      <c r="C31" s="221"/>
      <c r="D31" s="221"/>
      <c r="E31" s="221"/>
      <c r="F31" s="221"/>
      <c r="G31" s="221"/>
      <c r="H31" s="221"/>
      <c r="I31" s="221"/>
      <c r="J31" s="222"/>
    </row>
    <row r="32" spans="1:10" ht="50.25" customHeight="1">
      <c r="A32" s="2" t="s">
        <v>72</v>
      </c>
      <c r="B32" s="3" t="s">
        <v>73</v>
      </c>
      <c r="C32" s="2" t="s">
        <v>74</v>
      </c>
      <c r="D32" s="3" t="s">
        <v>38</v>
      </c>
      <c r="E32" s="3" t="s">
        <v>53</v>
      </c>
      <c r="F32" s="4">
        <f>(39.15*2.7+1*2*3.2+7.15*8.1)*2-F34+1.3*30.5</f>
        <v>325.09000000000003</v>
      </c>
      <c r="G32" s="211" t="s">
        <v>485</v>
      </c>
      <c r="H32" s="212"/>
      <c r="I32" s="212"/>
      <c r="J32" s="213"/>
    </row>
    <row r="33" spans="1:10" ht="55.5" customHeight="1">
      <c r="A33" s="2" t="s">
        <v>371</v>
      </c>
      <c r="B33" s="3" t="s">
        <v>75</v>
      </c>
      <c r="C33" s="2" t="s">
        <v>76</v>
      </c>
      <c r="D33" s="3" t="s">
        <v>38</v>
      </c>
      <c r="E33" s="3" t="s">
        <v>53</v>
      </c>
      <c r="F33" s="4">
        <f>(39.15*2.7+1*2*3.2+7.15*8.1)*2-F34+1.3*30.5</f>
        <v>325.09000000000003</v>
      </c>
      <c r="G33" s="211" t="s">
        <v>485</v>
      </c>
      <c r="H33" s="212" t="e">
        <f>ROUND(G33+G33*J7,2)</f>
        <v>#VALUE!</v>
      </c>
      <c r="I33" s="212" t="e">
        <f t="shared" ref="I33" si="0">ROUND(G33*F33,2)</f>
        <v>#VALUE!</v>
      </c>
      <c r="J33" s="213" t="e">
        <f t="shared" ref="J33" si="1">ROUND(H33*F33,2)</f>
        <v>#VALUE!</v>
      </c>
    </row>
    <row r="34" spans="1:10" ht="68.400000000000006">
      <c r="A34" s="2" t="s">
        <v>372</v>
      </c>
      <c r="B34" s="3" t="s">
        <v>77</v>
      </c>
      <c r="C34" s="2" t="s">
        <v>78</v>
      </c>
      <c r="D34" s="3" t="s">
        <v>38</v>
      </c>
      <c r="E34" s="3" t="s">
        <v>53</v>
      </c>
      <c r="F34" s="4">
        <f>18.2*3</f>
        <v>54.599999999999994</v>
      </c>
      <c r="G34" s="211" t="s">
        <v>486</v>
      </c>
      <c r="H34" s="212"/>
      <c r="I34" s="212"/>
      <c r="J34" s="213"/>
    </row>
    <row r="35" spans="1:10" ht="34.200000000000003">
      <c r="A35" s="2" t="s">
        <v>373</v>
      </c>
      <c r="B35" s="3" t="s">
        <v>79</v>
      </c>
      <c r="C35" s="2" t="s">
        <v>80</v>
      </c>
      <c r="D35" s="3" t="s">
        <v>16</v>
      </c>
      <c r="E35" s="3" t="s">
        <v>20</v>
      </c>
      <c r="F35" s="4">
        <f>18.2*3+1.12*3+0.9*0.6</f>
        <v>58.499999999999993</v>
      </c>
      <c r="G35" s="211" t="s">
        <v>487</v>
      </c>
      <c r="H35" s="212"/>
      <c r="I35" s="212"/>
      <c r="J35" s="213"/>
    </row>
    <row r="36" spans="1:10">
      <c r="A36" s="2" t="s">
        <v>374</v>
      </c>
      <c r="B36" s="3" t="s">
        <v>81</v>
      </c>
      <c r="C36" s="2" t="s">
        <v>82</v>
      </c>
      <c r="D36" s="3" t="s">
        <v>16</v>
      </c>
      <c r="E36" s="3" t="s">
        <v>20</v>
      </c>
      <c r="F36" s="4">
        <f>5.9*0.14</f>
        <v>0.82600000000000018</v>
      </c>
      <c r="G36" s="211" t="s">
        <v>488</v>
      </c>
      <c r="H36" s="212"/>
      <c r="I36" s="212"/>
      <c r="J36" s="213"/>
    </row>
    <row r="37" spans="1:10" ht="20.100000000000001" customHeight="1">
      <c r="A37" s="8" t="s">
        <v>83</v>
      </c>
      <c r="B37" s="220" t="s">
        <v>84</v>
      </c>
      <c r="C37" s="221"/>
      <c r="D37" s="221"/>
      <c r="E37" s="221"/>
      <c r="F37" s="221"/>
      <c r="G37" s="221"/>
      <c r="H37" s="221"/>
      <c r="I37" s="221"/>
      <c r="J37" s="222"/>
    </row>
    <row r="38" spans="1:10" ht="22.8">
      <c r="A38" s="2" t="s">
        <v>85</v>
      </c>
      <c r="B38" s="3" t="s">
        <v>86</v>
      </c>
      <c r="C38" s="2" t="s">
        <v>87</v>
      </c>
      <c r="D38" s="3" t="s">
        <v>38</v>
      </c>
      <c r="E38" s="3" t="s">
        <v>39</v>
      </c>
      <c r="F38" s="4">
        <f>(51.02+0.88)*0.05</f>
        <v>2.5950000000000006</v>
      </c>
      <c r="G38" s="211" t="s">
        <v>489</v>
      </c>
      <c r="H38" s="212"/>
      <c r="I38" s="212"/>
      <c r="J38" s="213"/>
    </row>
    <row r="39" spans="1:10" ht="32.25" customHeight="1">
      <c r="A39" s="2" t="s">
        <v>88</v>
      </c>
      <c r="B39" s="3" t="s">
        <v>89</v>
      </c>
      <c r="C39" s="2" t="s">
        <v>90</v>
      </c>
      <c r="D39" s="3" t="s">
        <v>16</v>
      </c>
      <c r="E39" s="3" t="s">
        <v>20</v>
      </c>
      <c r="F39" s="4">
        <f>8.1*7.15</f>
        <v>57.914999999999999</v>
      </c>
      <c r="G39" s="211" t="s">
        <v>473</v>
      </c>
      <c r="H39" s="212"/>
      <c r="I39" s="212"/>
      <c r="J39" s="213"/>
    </row>
    <row r="40" spans="1:10" ht="44.25" customHeight="1">
      <c r="A40" s="2" t="s">
        <v>91</v>
      </c>
      <c r="B40" s="3" t="s">
        <v>92</v>
      </c>
      <c r="C40" s="2" t="s">
        <v>93</v>
      </c>
      <c r="D40" s="3" t="s">
        <v>38</v>
      </c>
      <c r="E40" s="3" t="s">
        <v>53</v>
      </c>
      <c r="F40" s="4">
        <f>(51.02)</f>
        <v>51.02</v>
      </c>
      <c r="G40" s="211" t="s">
        <v>490</v>
      </c>
      <c r="H40" s="212"/>
      <c r="I40" s="212"/>
      <c r="J40" s="213"/>
    </row>
    <row r="41" spans="1:10" ht="43.5" customHeight="1">
      <c r="A41" s="2" t="s">
        <v>94</v>
      </c>
      <c r="B41" s="3" t="s">
        <v>95</v>
      </c>
      <c r="C41" s="2" t="s">
        <v>96</v>
      </c>
      <c r="D41" s="3" t="s">
        <v>38</v>
      </c>
      <c r="E41" s="3" t="s">
        <v>97</v>
      </c>
      <c r="F41" s="4">
        <v>34.25</v>
      </c>
      <c r="G41" s="211" t="s">
        <v>491</v>
      </c>
      <c r="H41" s="212"/>
      <c r="I41" s="212"/>
      <c r="J41" s="213"/>
    </row>
    <row r="42" spans="1:10">
      <c r="A42" s="2" t="s">
        <v>98</v>
      </c>
      <c r="B42" s="3" t="s">
        <v>99</v>
      </c>
      <c r="C42" s="2" t="s">
        <v>100</v>
      </c>
      <c r="D42" s="3" t="s">
        <v>16</v>
      </c>
      <c r="E42" s="3" t="s">
        <v>20</v>
      </c>
      <c r="F42" s="4">
        <f>6.2*0.14</f>
        <v>0.8680000000000001</v>
      </c>
      <c r="G42" s="211" t="s">
        <v>492</v>
      </c>
      <c r="H42" s="212"/>
      <c r="I42" s="212"/>
      <c r="J42" s="213"/>
    </row>
    <row r="43" spans="1:10" ht="18" customHeight="1">
      <c r="A43" s="8" t="s">
        <v>101</v>
      </c>
      <c r="B43" s="220" t="s">
        <v>102</v>
      </c>
      <c r="C43" s="221"/>
      <c r="D43" s="221"/>
      <c r="E43" s="221"/>
      <c r="F43" s="221"/>
      <c r="G43" s="221"/>
      <c r="H43" s="221"/>
      <c r="I43" s="221"/>
      <c r="J43" s="222"/>
    </row>
    <row r="44" spans="1:10" ht="51.6" customHeight="1">
      <c r="A44" s="2" t="s">
        <v>103</v>
      </c>
      <c r="B44" s="3" t="s">
        <v>104</v>
      </c>
      <c r="C44" s="46" t="s">
        <v>509</v>
      </c>
      <c r="D44" s="3" t="s">
        <v>38</v>
      </c>
      <c r="E44" s="3" t="s">
        <v>53</v>
      </c>
      <c r="F44" s="4">
        <f>(8.1*7.15*1.08)</f>
        <v>62.548200000000001</v>
      </c>
      <c r="G44" s="211" t="s">
        <v>493</v>
      </c>
      <c r="H44" s="212"/>
      <c r="I44" s="212"/>
      <c r="J44" s="213"/>
    </row>
    <row r="45" spans="1:10" ht="34.200000000000003">
      <c r="A45" s="2" t="s">
        <v>106</v>
      </c>
      <c r="B45" s="3" t="s">
        <v>107</v>
      </c>
      <c r="C45" s="2" t="s">
        <v>108</v>
      </c>
      <c r="D45" s="3" t="s">
        <v>38</v>
      </c>
      <c r="E45" s="47" t="s">
        <v>378</v>
      </c>
      <c r="F45" s="4">
        <f>(8.1*7.15*1.08)</f>
        <v>62.548200000000001</v>
      </c>
      <c r="G45" s="211" t="s">
        <v>493</v>
      </c>
      <c r="H45" s="212"/>
      <c r="I45" s="212"/>
      <c r="J45" s="213"/>
    </row>
    <row r="46" spans="1:10" ht="22.8">
      <c r="A46" s="2" t="s">
        <v>109</v>
      </c>
      <c r="B46" s="3" t="s">
        <v>110</v>
      </c>
      <c r="C46" s="2" t="s">
        <v>111</v>
      </c>
      <c r="D46" s="3" t="s">
        <v>16</v>
      </c>
      <c r="E46" s="47" t="s">
        <v>383</v>
      </c>
      <c r="F46" s="4">
        <v>14.3</v>
      </c>
      <c r="G46" s="211" t="s">
        <v>479</v>
      </c>
      <c r="H46" s="212"/>
      <c r="I46" s="212"/>
      <c r="J46" s="213"/>
    </row>
    <row r="47" spans="1:10" ht="20.100000000000001" customHeight="1">
      <c r="A47" s="8" t="s">
        <v>113</v>
      </c>
      <c r="B47" s="220" t="s">
        <v>114</v>
      </c>
      <c r="C47" s="221"/>
      <c r="D47" s="221"/>
      <c r="E47" s="221"/>
      <c r="F47" s="221"/>
      <c r="G47" s="221"/>
      <c r="H47" s="221"/>
      <c r="I47" s="221"/>
      <c r="J47" s="222"/>
    </row>
    <row r="48" spans="1:10" ht="54.75" customHeight="1">
      <c r="A48" s="2" t="s">
        <v>115</v>
      </c>
      <c r="B48" s="47" t="s">
        <v>375</v>
      </c>
      <c r="C48" s="2" t="s">
        <v>116</v>
      </c>
      <c r="D48" s="3" t="s">
        <v>16</v>
      </c>
      <c r="E48" s="3" t="s">
        <v>17</v>
      </c>
      <c r="F48" s="4">
        <v>4</v>
      </c>
      <c r="G48" s="211" t="s">
        <v>479</v>
      </c>
      <c r="H48" s="212"/>
      <c r="I48" s="212"/>
      <c r="J48" s="213"/>
    </row>
    <row r="49" spans="1:10">
      <c r="A49" s="2" t="s">
        <v>384</v>
      </c>
      <c r="B49" s="47" t="s">
        <v>376</v>
      </c>
      <c r="C49" s="46" t="s">
        <v>377</v>
      </c>
      <c r="D49" s="3" t="s">
        <v>16</v>
      </c>
      <c r="E49" s="47" t="s">
        <v>378</v>
      </c>
      <c r="F49" s="4">
        <f>1.5*2.1</f>
        <v>3.1500000000000004</v>
      </c>
      <c r="G49" s="211" t="s">
        <v>494</v>
      </c>
      <c r="H49" s="212"/>
      <c r="I49" s="212"/>
      <c r="J49" s="213"/>
    </row>
    <row r="50" spans="1:10" ht="57">
      <c r="A50" s="2" t="s">
        <v>385</v>
      </c>
      <c r="B50" s="47" t="s">
        <v>379</v>
      </c>
      <c r="C50" s="2" t="s">
        <v>117</v>
      </c>
      <c r="D50" s="47" t="s">
        <v>382</v>
      </c>
      <c r="E50" s="47" t="s">
        <v>378</v>
      </c>
      <c r="F50" s="4">
        <f>2*0.6*0.6+2*1</f>
        <v>2.7199999999999998</v>
      </c>
      <c r="G50" s="211" t="s">
        <v>495</v>
      </c>
      <c r="H50" s="212"/>
      <c r="I50" s="212"/>
      <c r="J50" s="213"/>
    </row>
    <row r="51" spans="1:10" ht="57">
      <c r="A51" s="2" t="s">
        <v>386</v>
      </c>
      <c r="B51" s="3" t="s">
        <v>380</v>
      </c>
      <c r="C51" s="2" t="s">
        <v>381</v>
      </c>
      <c r="D51" s="3" t="s">
        <v>382</v>
      </c>
      <c r="E51" s="47" t="s">
        <v>378</v>
      </c>
      <c r="F51" s="4">
        <f>2.7*1</f>
        <v>2.7</v>
      </c>
      <c r="G51" s="211" t="s">
        <v>496</v>
      </c>
      <c r="H51" s="212"/>
      <c r="I51" s="212"/>
      <c r="J51" s="213"/>
    </row>
    <row r="52" spans="1:10" ht="22.8">
      <c r="A52" s="2" t="s">
        <v>387</v>
      </c>
      <c r="B52" s="3" t="s">
        <v>118</v>
      </c>
      <c r="C52" s="2" t="s">
        <v>119</v>
      </c>
      <c r="D52" s="3" t="s">
        <v>38</v>
      </c>
      <c r="E52" s="3" t="s">
        <v>97</v>
      </c>
      <c r="F52" s="4">
        <f>(1+1+0.6+0.6+1.2+1.5)*1.35</f>
        <v>7.9650000000000007</v>
      </c>
      <c r="G52" s="211" t="s">
        <v>497</v>
      </c>
      <c r="H52" s="212"/>
      <c r="I52" s="212"/>
      <c r="J52" s="213"/>
    </row>
    <row r="53" spans="1:10" ht="22.8">
      <c r="A53" s="2" t="s">
        <v>388</v>
      </c>
      <c r="B53" s="3" t="s">
        <v>120</v>
      </c>
      <c r="C53" s="2" t="s">
        <v>121</v>
      </c>
      <c r="D53" s="3" t="s">
        <v>38</v>
      </c>
      <c r="E53" s="3" t="s">
        <v>97</v>
      </c>
      <c r="F53" s="4">
        <f>(0.8+0.8+0.8+0.8+1.5)*1.35</f>
        <v>6.3450000000000006</v>
      </c>
      <c r="G53" s="211" t="s">
        <v>498</v>
      </c>
      <c r="H53" s="212"/>
      <c r="I53" s="212"/>
      <c r="J53" s="213"/>
    </row>
    <row r="54" spans="1:10" ht="20.100000000000001" customHeight="1">
      <c r="A54" s="8" t="s">
        <v>122</v>
      </c>
      <c r="B54" s="220" t="s">
        <v>123</v>
      </c>
      <c r="C54" s="221"/>
      <c r="D54" s="221"/>
      <c r="E54" s="221"/>
      <c r="F54" s="221"/>
      <c r="G54" s="221"/>
      <c r="H54" s="221"/>
      <c r="I54" s="221"/>
      <c r="J54" s="222"/>
    </row>
    <row r="55" spans="1:10" ht="34.200000000000003">
      <c r="A55" s="2" t="s">
        <v>124</v>
      </c>
      <c r="B55" s="3" t="s">
        <v>125</v>
      </c>
      <c r="C55" s="2" t="s">
        <v>126</v>
      </c>
      <c r="D55" s="3" t="s">
        <v>16</v>
      </c>
      <c r="E55" s="3" t="s">
        <v>20</v>
      </c>
      <c r="F55" s="4">
        <f>31.55*3</f>
        <v>94.65</v>
      </c>
      <c r="G55" s="211" t="s">
        <v>499</v>
      </c>
      <c r="H55" s="212"/>
      <c r="I55" s="212"/>
      <c r="J55" s="213"/>
    </row>
    <row r="56" spans="1:10" ht="34.200000000000003">
      <c r="A56" s="2" t="s">
        <v>127</v>
      </c>
      <c r="B56" s="3" t="s">
        <v>128</v>
      </c>
      <c r="C56" s="2" t="s">
        <v>129</v>
      </c>
      <c r="D56" s="3" t="s">
        <v>16</v>
      </c>
      <c r="E56" s="3" t="s">
        <v>20</v>
      </c>
      <c r="F56" s="4">
        <f>31.55*3</f>
        <v>94.65</v>
      </c>
      <c r="G56" s="211" t="s">
        <v>499</v>
      </c>
      <c r="H56" s="212"/>
      <c r="I56" s="212"/>
      <c r="J56" s="213"/>
    </row>
    <row r="57" spans="1:10" ht="22.8">
      <c r="A57" s="2" t="s">
        <v>130</v>
      </c>
      <c r="B57" s="3" t="s">
        <v>131</v>
      </c>
      <c r="C57" s="2" t="s">
        <v>132</v>
      </c>
      <c r="D57" s="3" t="s">
        <v>38</v>
      </c>
      <c r="E57" s="3" t="s">
        <v>53</v>
      </c>
      <c r="F57" s="4">
        <f>30.5*4.3</f>
        <v>131.15</v>
      </c>
      <c r="G57" s="211" t="s">
        <v>500</v>
      </c>
      <c r="H57" s="212"/>
      <c r="I57" s="212"/>
      <c r="J57" s="213"/>
    </row>
    <row r="58" spans="1:10" ht="22.8">
      <c r="A58" s="2" t="s">
        <v>133</v>
      </c>
      <c r="B58" s="3" t="s">
        <v>134</v>
      </c>
      <c r="C58" s="2" t="s">
        <v>135</v>
      </c>
      <c r="D58" s="3" t="s">
        <v>38</v>
      </c>
      <c r="E58" s="3" t="s">
        <v>53</v>
      </c>
      <c r="F58" s="4">
        <f>30.5*4.3</f>
        <v>131.15</v>
      </c>
      <c r="G58" s="211" t="s">
        <v>500</v>
      </c>
      <c r="H58" s="212"/>
      <c r="I58" s="212"/>
      <c r="J58" s="213"/>
    </row>
    <row r="59" spans="1:10" ht="22.8">
      <c r="A59" s="2" t="s">
        <v>136</v>
      </c>
      <c r="B59" s="3" t="s">
        <v>137</v>
      </c>
      <c r="C59" s="2" t="s">
        <v>138</v>
      </c>
      <c r="D59" s="3" t="s">
        <v>38</v>
      </c>
      <c r="E59" s="3" t="s">
        <v>53</v>
      </c>
      <c r="F59" s="4">
        <v>51.02</v>
      </c>
      <c r="G59" s="211" t="s">
        <v>501</v>
      </c>
      <c r="H59" s="212"/>
      <c r="I59" s="212"/>
      <c r="J59" s="213"/>
    </row>
    <row r="60" spans="1:10" ht="22.8">
      <c r="A60" s="2" t="s">
        <v>139</v>
      </c>
      <c r="B60" s="3" t="s">
        <v>140</v>
      </c>
      <c r="C60" s="2" t="s">
        <v>141</v>
      </c>
      <c r="D60" s="3" t="s">
        <v>38</v>
      </c>
      <c r="E60" s="3" t="s">
        <v>53</v>
      </c>
      <c r="F60" s="4">
        <v>51.02</v>
      </c>
      <c r="G60" s="211" t="s">
        <v>501</v>
      </c>
      <c r="H60" s="212"/>
      <c r="I60" s="212"/>
      <c r="J60" s="213"/>
    </row>
    <row r="61" spans="1:10" ht="34.200000000000003">
      <c r="A61" s="2" t="s">
        <v>142</v>
      </c>
      <c r="B61" s="3" t="s">
        <v>143</v>
      </c>
      <c r="C61" s="2" t="s">
        <v>144</v>
      </c>
      <c r="D61" s="3" t="s">
        <v>16</v>
      </c>
      <c r="E61" s="3" t="s">
        <v>20</v>
      </c>
      <c r="F61" s="4">
        <f>0.8*2.1*4*2+2.1*1.5*2</f>
        <v>19.740000000000002</v>
      </c>
      <c r="G61" s="211" t="s">
        <v>502</v>
      </c>
      <c r="H61" s="212"/>
      <c r="I61" s="212"/>
      <c r="J61" s="213"/>
    </row>
    <row r="62" spans="1:10" ht="20.100000000000001" customHeight="1">
      <c r="A62" s="8" t="s">
        <v>145</v>
      </c>
      <c r="B62" s="220" t="s">
        <v>146</v>
      </c>
      <c r="C62" s="221"/>
      <c r="D62" s="221"/>
      <c r="E62" s="221"/>
      <c r="F62" s="221"/>
      <c r="G62" s="221"/>
      <c r="H62" s="221"/>
      <c r="I62" s="221"/>
      <c r="J62" s="222"/>
    </row>
    <row r="63" spans="1:10" ht="20.100000000000001" customHeight="1">
      <c r="A63" s="7" t="s">
        <v>147</v>
      </c>
      <c r="B63" s="217" t="s">
        <v>148</v>
      </c>
      <c r="C63" s="218"/>
      <c r="D63" s="218"/>
      <c r="E63" s="218"/>
      <c r="F63" s="218"/>
      <c r="G63" s="218"/>
      <c r="H63" s="218"/>
      <c r="I63" s="218"/>
      <c r="J63" s="219"/>
    </row>
    <row r="64" spans="1:10" ht="20.100000000000001" customHeight="1">
      <c r="A64" s="7" t="s">
        <v>149</v>
      </c>
      <c r="B64" s="217" t="s">
        <v>150</v>
      </c>
      <c r="C64" s="218"/>
      <c r="D64" s="218"/>
      <c r="E64" s="218"/>
      <c r="F64" s="218"/>
      <c r="G64" s="218"/>
      <c r="H64" s="218"/>
      <c r="I64" s="218"/>
      <c r="J64" s="219"/>
    </row>
    <row r="65" spans="1:10" ht="68.400000000000006">
      <c r="A65" s="2" t="s">
        <v>151</v>
      </c>
      <c r="B65" s="3" t="s">
        <v>152</v>
      </c>
      <c r="C65" s="2" t="s">
        <v>153</v>
      </c>
      <c r="D65" s="3" t="s">
        <v>16</v>
      </c>
      <c r="E65" s="3" t="s">
        <v>154</v>
      </c>
      <c r="F65" s="4">
        <v>5</v>
      </c>
      <c r="G65" s="211" t="s">
        <v>479</v>
      </c>
      <c r="H65" s="212"/>
      <c r="I65" s="212"/>
      <c r="J65" s="213"/>
    </row>
    <row r="66" spans="1:10" ht="20.100000000000001" customHeight="1">
      <c r="A66" s="7" t="s">
        <v>155</v>
      </c>
      <c r="B66" s="217" t="s">
        <v>156</v>
      </c>
      <c r="C66" s="218"/>
      <c r="D66" s="218"/>
      <c r="E66" s="218"/>
      <c r="F66" s="218"/>
      <c r="G66" s="218"/>
      <c r="H66" s="218"/>
      <c r="I66" s="218"/>
      <c r="J66" s="219"/>
    </row>
    <row r="67" spans="1:10" ht="34.200000000000003">
      <c r="A67" s="2" t="s">
        <v>157</v>
      </c>
      <c r="B67" s="3" t="s">
        <v>158</v>
      </c>
      <c r="C67" s="2" t="s">
        <v>159</v>
      </c>
      <c r="D67" s="3" t="s">
        <v>16</v>
      </c>
      <c r="E67" s="3" t="s">
        <v>17</v>
      </c>
      <c r="F67" s="4">
        <v>4</v>
      </c>
      <c r="G67" s="211" t="s">
        <v>479</v>
      </c>
      <c r="H67" s="212"/>
      <c r="I67" s="212"/>
      <c r="J67" s="213"/>
    </row>
    <row r="68" spans="1:10" ht="34.200000000000003">
      <c r="A68" s="2" t="s">
        <v>160</v>
      </c>
      <c r="B68" s="3" t="s">
        <v>161</v>
      </c>
      <c r="C68" s="46" t="s">
        <v>389</v>
      </c>
      <c r="D68" s="3" t="s">
        <v>38</v>
      </c>
      <c r="E68" s="3" t="s">
        <v>162</v>
      </c>
      <c r="F68" s="4">
        <v>4</v>
      </c>
      <c r="G68" s="211" t="s">
        <v>479</v>
      </c>
      <c r="H68" s="212"/>
      <c r="I68" s="212"/>
      <c r="J68" s="213"/>
    </row>
    <row r="69" spans="1:10" ht="20.100000000000001" customHeight="1">
      <c r="A69" s="7" t="s">
        <v>163</v>
      </c>
      <c r="B69" s="217" t="s">
        <v>164</v>
      </c>
      <c r="C69" s="218"/>
      <c r="D69" s="218"/>
      <c r="E69" s="218"/>
      <c r="F69" s="218"/>
      <c r="G69" s="218"/>
      <c r="H69" s="218"/>
      <c r="I69" s="218"/>
      <c r="J69" s="219"/>
    </row>
    <row r="70" spans="1:10" ht="22.8">
      <c r="A70" s="2" t="s">
        <v>165</v>
      </c>
      <c r="B70" s="3">
        <v>89711</v>
      </c>
      <c r="C70" s="2" t="s">
        <v>390</v>
      </c>
      <c r="D70" s="3" t="s">
        <v>38</v>
      </c>
      <c r="E70" s="3" t="s">
        <v>383</v>
      </c>
      <c r="F70" s="4">
        <v>9</v>
      </c>
      <c r="G70" s="211" t="s">
        <v>479</v>
      </c>
      <c r="H70" s="212"/>
      <c r="I70" s="212"/>
      <c r="J70" s="213"/>
    </row>
    <row r="71" spans="1:10" ht="22.8">
      <c r="A71" s="2" t="s">
        <v>397</v>
      </c>
      <c r="B71" s="3">
        <v>89714</v>
      </c>
      <c r="C71" s="2" t="s">
        <v>391</v>
      </c>
      <c r="D71" s="3" t="s">
        <v>38</v>
      </c>
      <c r="E71" s="48" t="s">
        <v>383</v>
      </c>
      <c r="F71" s="4">
        <f>2.58*6</f>
        <v>15.48</v>
      </c>
      <c r="G71" s="211" t="s">
        <v>479</v>
      </c>
      <c r="H71" s="212"/>
      <c r="I71" s="212"/>
      <c r="J71" s="213"/>
    </row>
    <row r="72" spans="1:10" ht="22.8">
      <c r="A72" s="2" t="s">
        <v>398</v>
      </c>
      <c r="B72" s="3">
        <v>89712</v>
      </c>
      <c r="C72" s="2" t="s">
        <v>392</v>
      </c>
      <c r="D72" s="3" t="s">
        <v>38</v>
      </c>
      <c r="E72" s="48" t="s">
        <v>383</v>
      </c>
      <c r="F72" s="4">
        <v>24</v>
      </c>
      <c r="G72" s="211" t="s">
        <v>479</v>
      </c>
      <c r="H72" s="212"/>
      <c r="I72" s="212"/>
      <c r="J72" s="213"/>
    </row>
    <row r="73" spans="1:10" ht="22.8">
      <c r="A73" s="2" t="s">
        <v>399</v>
      </c>
      <c r="B73" s="3">
        <v>89784</v>
      </c>
      <c r="C73" s="2" t="s">
        <v>393</v>
      </c>
      <c r="D73" s="3" t="s">
        <v>38</v>
      </c>
      <c r="E73" s="48" t="s">
        <v>394</v>
      </c>
      <c r="F73" s="4">
        <v>1</v>
      </c>
      <c r="G73" s="211" t="s">
        <v>479</v>
      </c>
      <c r="H73" s="212"/>
      <c r="I73" s="212"/>
      <c r="J73" s="213"/>
    </row>
    <row r="74" spans="1:10" ht="34.200000000000003">
      <c r="A74" s="2" t="s">
        <v>400</v>
      </c>
      <c r="B74" s="3" t="s">
        <v>395</v>
      </c>
      <c r="C74" s="2" t="s">
        <v>396</v>
      </c>
      <c r="D74" s="3" t="s">
        <v>382</v>
      </c>
      <c r="E74" s="48" t="s">
        <v>394</v>
      </c>
      <c r="F74" s="4">
        <v>3</v>
      </c>
      <c r="G74" s="211" t="s">
        <v>479</v>
      </c>
      <c r="H74" s="212"/>
      <c r="I74" s="212"/>
      <c r="J74" s="213"/>
    </row>
    <row r="75" spans="1:10" ht="20.100000000000001" customHeight="1">
      <c r="A75" s="7" t="s">
        <v>166</v>
      </c>
      <c r="B75" s="217" t="s">
        <v>167</v>
      </c>
      <c r="C75" s="218"/>
      <c r="D75" s="218"/>
      <c r="E75" s="218"/>
      <c r="F75" s="218"/>
      <c r="G75" s="218"/>
      <c r="H75" s="218"/>
      <c r="I75" s="218"/>
      <c r="J75" s="219"/>
    </row>
    <row r="76" spans="1:10" ht="45.6">
      <c r="A76" s="2" t="s">
        <v>168</v>
      </c>
      <c r="B76" s="3" t="s">
        <v>169</v>
      </c>
      <c r="C76" s="2" t="s">
        <v>170</v>
      </c>
      <c r="D76" s="3" t="s">
        <v>38</v>
      </c>
      <c r="E76" s="3" t="s">
        <v>162</v>
      </c>
      <c r="F76" s="4">
        <v>1</v>
      </c>
      <c r="G76" s="211" t="s">
        <v>479</v>
      </c>
      <c r="H76" s="212"/>
      <c r="I76" s="212"/>
      <c r="J76" s="213"/>
    </row>
    <row r="77" spans="1:10" ht="20.100000000000001" customHeight="1">
      <c r="A77" s="7" t="s">
        <v>171</v>
      </c>
      <c r="B77" s="217" t="s">
        <v>172</v>
      </c>
      <c r="C77" s="218"/>
      <c r="D77" s="218"/>
      <c r="E77" s="218"/>
      <c r="F77" s="218"/>
      <c r="G77" s="218"/>
      <c r="H77" s="218"/>
      <c r="I77" s="218"/>
      <c r="J77" s="219"/>
    </row>
    <row r="78" spans="1:10" ht="20.100000000000001" customHeight="1">
      <c r="A78" s="7" t="s">
        <v>173</v>
      </c>
      <c r="B78" s="217" t="s">
        <v>156</v>
      </c>
      <c r="C78" s="218"/>
      <c r="D78" s="218"/>
      <c r="E78" s="218"/>
      <c r="F78" s="218"/>
      <c r="G78" s="218"/>
      <c r="H78" s="218"/>
      <c r="I78" s="218"/>
      <c r="J78" s="219"/>
    </row>
    <row r="79" spans="1:10" ht="34.200000000000003">
      <c r="A79" s="2" t="s">
        <v>174</v>
      </c>
      <c r="B79" s="47" t="s">
        <v>402</v>
      </c>
      <c r="C79" s="46" t="s">
        <v>401</v>
      </c>
      <c r="D79" s="3" t="s">
        <v>16</v>
      </c>
      <c r="E79" s="47" t="s">
        <v>383</v>
      </c>
      <c r="F79" s="4">
        <v>12</v>
      </c>
      <c r="G79" s="211" t="s">
        <v>479</v>
      </c>
      <c r="H79" s="212"/>
      <c r="I79" s="212"/>
      <c r="J79" s="213"/>
    </row>
    <row r="80" spans="1:10" ht="20.100000000000001" customHeight="1">
      <c r="A80" s="8" t="s">
        <v>175</v>
      </c>
      <c r="B80" s="220" t="s">
        <v>176</v>
      </c>
      <c r="C80" s="221"/>
      <c r="D80" s="221"/>
      <c r="E80" s="221"/>
      <c r="F80" s="221"/>
      <c r="G80" s="221"/>
      <c r="H80" s="221"/>
      <c r="I80" s="221"/>
      <c r="J80" s="222"/>
    </row>
    <row r="81" spans="1:10" ht="20.100000000000001" customHeight="1">
      <c r="A81" s="7" t="s">
        <v>177</v>
      </c>
      <c r="B81" s="217" t="s">
        <v>178</v>
      </c>
      <c r="C81" s="218"/>
      <c r="D81" s="218"/>
      <c r="E81" s="218"/>
      <c r="F81" s="218"/>
      <c r="G81" s="218"/>
      <c r="H81" s="218"/>
      <c r="I81" s="218"/>
      <c r="J81" s="219"/>
    </row>
    <row r="82" spans="1:10" ht="20.100000000000001" customHeight="1">
      <c r="A82" s="7" t="s">
        <v>179</v>
      </c>
      <c r="B82" s="217" t="s">
        <v>180</v>
      </c>
      <c r="C82" s="218"/>
      <c r="D82" s="218"/>
      <c r="E82" s="218"/>
      <c r="F82" s="218"/>
      <c r="G82" s="218"/>
      <c r="H82" s="218"/>
      <c r="I82" s="218"/>
      <c r="J82" s="219"/>
    </row>
    <row r="83" spans="1:10" ht="22.8">
      <c r="A83" s="2" t="s">
        <v>181</v>
      </c>
      <c r="B83" s="3" t="s">
        <v>182</v>
      </c>
      <c r="C83" s="2" t="s">
        <v>183</v>
      </c>
      <c r="D83" s="3" t="s">
        <v>38</v>
      </c>
      <c r="E83" s="3" t="s">
        <v>162</v>
      </c>
      <c r="F83" s="4">
        <v>2</v>
      </c>
      <c r="G83" s="211" t="s">
        <v>479</v>
      </c>
      <c r="H83" s="212"/>
      <c r="I83" s="212"/>
      <c r="J83" s="213"/>
    </row>
    <row r="84" spans="1:10" ht="20.100000000000001" customHeight="1">
      <c r="A84" s="7" t="s">
        <v>184</v>
      </c>
      <c r="B84" s="217" t="s">
        <v>185</v>
      </c>
      <c r="C84" s="218"/>
      <c r="D84" s="218"/>
      <c r="E84" s="218"/>
      <c r="F84" s="218"/>
      <c r="G84" s="218"/>
      <c r="H84" s="218"/>
      <c r="I84" s="218"/>
      <c r="J84" s="219"/>
    </row>
    <row r="85" spans="1:10" ht="34.200000000000003">
      <c r="A85" s="2" t="s">
        <v>186</v>
      </c>
      <c r="B85" s="3" t="s">
        <v>187</v>
      </c>
      <c r="C85" s="2" t="s">
        <v>188</v>
      </c>
      <c r="D85" s="3" t="s">
        <v>38</v>
      </c>
      <c r="E85" s="3" t="s">
        <v>162</v>
      </c>
      <c r="F85" s="4">
        <v>1</v>
      </c>
      <c r="G85" s="211" t="s">
        <v>479</v>
      </c>
      <c r="H85" s="212"/>
      <c r="I85" s="212"/>
      <c r="J85" s="213"/>
    </row>
    <row r="86" spans="1:10" ht="20.100000000000001" customHeight="1">
      <c r="A86" s="49" t="s">
        <v>430</v>
      </c>
      <c r="B86" s="217" t="s">
        <v>189</v>
      </c>
      <c r="C86" s="218"/>
      <c r="D86" s="218"/>
      <c r="E86" s="218"/>
      <c r="F86" s="218"/>
      <c r="G86" s="218"/>
      <c r="H86" s="218"/>
      <c r="I86" s="218"/>
      <c r="J86" s="219"/>
    </row>
    <row r="87" spans="1:10" ht="34.200000000000003">
      <c r="A87" s="46" t="s">
        <v>431</v>
      </c>
      <c r="B87" s="3" t="s">
        <v>190</v>
      </c>
      <c r="C87" s="2" t="s">
        <v>191</v>
      </c>
      <c r="D87" s="3" t="s">
        <v>16</v>
      </c>
      <c r="E87" s="47" t="s">
        <v>383</v>
      </c>
      <c r="F87" s="4">
        <v>1</v>
      </c>
      <c r="G87" s="211" t="s">
        <v>479</v>
      </c>
      <c r="H87" s="212"/>
      <c r="I87" s="212"/>
      <c r="J87" s="213"/>
    </row>
    <row r="88" spans="1:10" ht="20.100000000000001" customHeight="1">
      <c r="A88" s="49" t="s">
        <v>432</v>
      </c>
      <c r="B88" s="217" t="s">
        <v>192</v>
      </c>
      <c r="C88" s="218"/>
      <c r="D88" s="218"/>
      <c r="E88" s="218"/>
      <c r="F88" s="218"/>
      <c r="G88" s="218"/>
      <c r="H88" s="218"/>
      <c r="I88" s="218"/>
      <c r="J88" s="219"/>
    </row>
    <row r="89" spans="1:10" ht="57">
      <c r="A89" s="46" t="s">
        <v>433</v>
      </c>
      <c r="B89" s="3" t="s">
        <v>193</v>
      </c>
      <c r="C89" s="2" t="s">
        <v>194</v>
      </c>
      <c r="D89" s="3" t="s">
        <v>38</v>
      </c>
      <c r="E89" s="3" t="s">
        <v>162</v>
      </c>
      <c r="F89" s="4">
        <v>1</v>
      </c>
      <c r="G89" s="211" t="s">
        <v>479</v>
      </c>
      <c r="H89" s="212"/>
      <c r="I89" s="212"/>
      <c r="J89" s="213"/>
    </row>
    <row r="90" spans="1:10" ht="34.200000000000003">
      <c r="A90" s="46" t="s">
        <v>434</v>
      </c>
      <c r="B90" s="3" t="s">
        <v>195</v>
      </c>
      <c r="C90" s="2" t="s">
        <v>196</v>
      </c>
      <c r="D90" s="3" t="s">
        <v>16</v>
      </c>
      <c r="E90" s="47" t="s">
        <v>383</v>
      </c>
      <c r="F90" s="4">
        <v>30</v>
      </c>
      <c r="G90" s="211" t="s">
        <v>479</v>
      </c>
      <c r="H90" s="212"/>
      <c r="I90" s="212"/>
      <c r="J90" s="213"/>
    </row>
    <row r="91" spans="1:10" ht="20.100000000000001" customHeight="1">
      <c r="A91" s="7" t="s">
        <v>197</v>
      </c>
      <c r="B91" s="217" t="s">
        <v>198</v>
      </c>
      <c r="C91" s="218"/>
      <c r="D91" s="218"/>
      <c r="E91" s="218"/>
      <c r="F91" s="218"/>
      <c r="G91" s="218"/>
      <c r="H91" s="218"/>
      <c r="I91" s="218"/>
      <c r="J91" s="219"/>
    </row>
    <row r="92" spans="1:10" ht="20.100000000000001" customHeight="1">
      <c r="A92" s="7" t="s">
        <v>199</v>
      </c>
      <c r="B92" s="217" t="s">
        <v>180</v>
      </c>
      <c r="C92" s="218"/>
      <c r="D92" s="218"/>
      <c r="E92" s="218"/>
      <c r="F92" s="218"/>
      <c r="G92" s="218"/>
      <c r="H92" s="218"/>
      <c r="I92" s="218"/>
      <c r="J92" s="219"/>
    </row>
    <row r="93" spans="1:10" ht="34.200000000000003">
      <c r="A93" s="2" t="s">
        <v>200</v>
      </c>
      <c r="B93" s="3" t="s">
        <v>201</v>
      </c>
      <c r="C93" s="2" t="s">
        <v>202</v>
      </c>
      <c r="D93" s="3" t="s">
        <v>38</v>
      </c>
      <c r="E93" s="3" t="s">
        <v>162</v>
      </c>
      <c r="F93" s="4">
        <v>2</v>
      </c>
      <c r="G93" s="211" t="s">
        <v>479</v>
      </c>
      <c r="H93" s="212"/>
      <c r="I93" s="212"/>
      <c r="J93" s="213"/>
    </row>
    <row r="94" spans="1:10" ht="45.6">
      <c r="A94" s="2" t="s">
        <v>203</v>
      </c>
      <c r="B94" s="3" t="s">
        <v>204</v>
      </c>
      <c r="C94" s="2" t="s">
        <v>205</v>
      </c>
      <c r="D94" s="3" t="s">
        <v>38</v>
      </c>
      <c r="E94" s="3" t="s">
        <v>162</v>
      </c>
      <c r="F94" s="4">
        <v>2</v>
      </c>
      <c r="G94" s="211" t="s">
        <v>479</v>
      </c>
      <c r="H94" s="212"/>
      <c r="I94" s="212"/>
      <c r="J94" s="213"/>
    </row>
    <row r="95" spans="1:10" ht="20.100000000000001" customHeight="1">
      <c r="A95" s="7" t="s">
        <v>206</v>
      </c>
      <c r="B95" s="217" t="s">
        <v>185</v>
      </c>
      <c r="C95" s="218"/>
      <c r="D95" s="218"/>
      <c r="E95" s="218"/>
      <c r="F95" s="218"/>
      <c r="G95" s="218"/>
      <c r="H95" s="218"/>
      <c r="I95" s="218"/>
      <c r="J95" s="219"/>
    </row>
    <row r="96" spans="1:10" ht="34.200000000000003">
      <c r="A96" s="2" t="s">
        <v>207</v>
      </c>
      <c r="B96" s="3" t="s">
        <v>208</v>
      </c>
      <c r="C96" s="2" t="s">
        <v>209</v>
      </c>
      <c r="D96" s="3" t="s">
        <v>16</v>
      </c>
      <c r="E96" s="3" t="s">
        <v>154</v>
      </c>
      <c r="F96" s="4">
        <v>2</v>
      </c>
      <c r="G96" s="211" t="s">
        <v>479</v>
      </c>
      <c r="H96" s="212"/>
      <c r="I96" s="212"/>
      <c r="J96" s="213"/>
    </row>
    <row r="97" spans="1:10" ht="45.6">
      <c r="A97" s="2" t="s">
        <v>210</v>
      </c>
      <c r="B97" s="3" t="s">
        <v>211</v>
      </c>
      <c r="C97" s="2" t="s">
        <v>212</v>
      </c>
      <c r="D97" s="3" t="s">
        <v>38</v>
      </c>
      <c r="E97" s="3" t="s">
        <v>162</v>
      </c>
      <c r="F97" s="4">
        <v>1</v>
      </c>
      <c r="G97" s="211" t="s">
        <v>479</v>
      </c>
      <c r="H97" s="212"/>
      <c r="I97" s="212"/>
      <c r="J97" s="213"/>
    </row>
    <row r="98" spans="1:10" ht="34.200000000000003">
      <c r="A98" s="2" t="s">
        <v>213</v>
      </c>
      <c r="B98" s="3" t="s">
        <v>214</v>
      </c>
      <c r="C98" s="2" t="s">
        <v>215</v>
      </c>
      <c r="D98" s="3" t="s">
        <v>38</v>
      </c>
      <c r="E98" s="3" t="s">
        <v>162</v>
      </c>
      <c r="F98" s="4">
        <v>2</v>
      </c>
      <c r="G98" s="211" t="s">
        <v>479</v>
      </c>
      <c r="H98" s="212"/>
      <c r="I98" s="212"/>
      <c r="J98" s="213"/>
    </row>
    <row r="99" spans="1:10" ht="20.100000000000001" customHeight="1">
      <c r="A99" s="7" t="s">
        <v>216</v>
      </c>
      <c r="B99" s="217" t="s">
        <v>217</v>
      </c>
      <c r="C99" s="218"/>
      <c r="D99" s="218"/>
      <c r="E99" s="218"/>
      <c r="F99" s="218"/>
      <c r="G99" s="218"/>
      <c r="H99" s="218"/>
      <c r="I99" s="218"/>
      <c r="J99" s="219"/>
    </row>
    <row r="100" spans="1:10" ht="22.8">
      <c r="A100" s="2" t="s">
        <v>218</v>
      </c>
      <c r="B100" s="3" t="s">
        <v>219</v>
      </c>
      <c r="C100" s="2" t="s">
        <v>220</v>
      </c>
      <c r="D100" s="3" t="s">
        <v>16</v>
      </c>
      <c r="E100" s="3" t="s">
        <v>17</v>
      </c>
      <c r="F100" s="4">
        <v>2</v>
      </c>
      <c r="G100" s="211" t="s">
        <v>479</v>
      </c>
      <c r="H100" s="212"/>
      <c r="I100" s="212"/>
      <c r="J100" s="213"/>
    </row>
    <row r="101" spans="1:10" ht="22.8">
      <c r="A101" s="2" t="s">
        <v>221</v>
      </c>
      <c r="B101" s="3" t="s">
        <v>222</v>
      </c>
      <c r="C101" s="2" t="s">
        <v>223</v>
      </c>
      <c r="D101" s="3" t="s">
        <v>38</v>
      </c>
      <c r="E101" s="3" t="s">
        <v>162</v>
      </c>
      <c r="F101" s="4">
        <v>3</v>
      </c>
      <c r="G101" s="211" t="s">
        <v>479</v>
      </c>
      <c r="H101" s="212"/>
      <c r="I101" s="212"/>
      <c r="J101" s="213"/>
    </row>
    <row r="102" spans="1:10" ht="22.8">
      <c r="A102" s="2" t="s">
        <v>224</v>
      </c>
      <c r="B102" s="3" t="s">
        <v>225</v>
      </c>
      <c r="C102" s="2" t="s">
        <v>226</v>
      </c>
      <c r="D102" s="3" t="s">
        <v>38</v>
      </c>
      <c r="E102" s="3" t="s">
        <v>162</v>
      </c>
      <c r="F102" s="4">
        <v>2</v>
      </c>
      <c r="G102" s="211" t="s">
        <v>479</v>
      </c>
      <c r="H102" s="212"/>
      <c r="I102" s="212"/>
      <c r="J102" s="213"/>
    </row>
    <row r="103" spans="1:10" ht="20.100000000000001" customHeight="1">
      <c r="A103" s="7" t="s">
        <v>227</v>
      </c>
      <c r="B103" s="217" t="s">
        <v>192</v>
      </c>
      <c r="C103" s="218"/>
      <c r="D103" s="218"/>
      <c r="E103" s="218"/>
      <c r="F103" s="218"/>
      <c r="G103" s="218"/>
      <c r="H103" s="218"/>
      <c r="I103" s="218"/>
      <c r="J103" s="219"/>
    </row>
    <row r="104" spans="1:10" ht="34.200000000000003">
      <c r="A104" s="2" t="s">
        <v>228</v>
      </c>
      <c r="B104" s="3" t="s">
        <v>229</v>
      </c>
      <c r="C104" s="2" t="s">
        <v>230</v>
      </c>
      <c r="D104" s="3" t="s">
        <v>38</v>
      </c>
      <c r="E104" s="3" t="s">
        <v>97</v>
      </c>
      <c r="F104" s="4">
        <v>5.6</v>
      </c>
      <c r="G104" s="211" t="s">
        <v>479</v>
      </c>
      <c r="H104" s="212"/>
      <c r="I104" s="212"/>
      <c r="J104" s="213"/>
    </row>
    <row r="105" spans="1:10" ht="34.200000000000003">
      <c r="A105" s="2" t="s">
        <v>231</v>
      </c>
      <c r="B105" s="3" t="s">
        <v>232</v>
      </c>
      <c r="C105" s="2" t="s">
        <v>233</v>
      </c>
      <c r="D105" s="3" t="s">
        <v>16</v>
      </c>
      <c r="E105" s="47" t="s">
        <v>383</v>
      </c>
      <c r="F105" s="4">
        <v>4.47</v>
      </c>
      <c r="G105" s="211" t="s">
        <v>479</v>
      </c>
      <c r="H105" s="212"/>
      <c r="I105" s="212"/>
      <c r="J105" s="213"/>
    </row>
    <row r="106" spans="1:10" ht="34.200000000000003">
      <c r="A106" s="2" t="s">
        <v>234</v>
      </c>
      <c r="B106" s="3" t="s">
        <v>235</v>
      </c>
      <c r="C106" s="2" t="s">
        <v>236</v>
      </c>
      <c r="D106" s="3" t="s">
        <v>16</v>
      </c>
      <c r="E106" s="47" t="s">
        <v>383</v>
      </c>
      <c r="F106" s="4">
        <v>11.04</v>
      </c>
      <c r="G106" s="211" t="s">
        <v>479</v>
      </c>
      <c r="H106" s="212"/>
      <c r="I106" s="212"/>
      <c r="J106" s="213"/>
    </row>
    <row r="107" spans="1:10" ht="20.100000000000001" customHeight="1">
      <c r="A107" s="7" t="s">
        <v>237</v>
      </c>
      <c r="B107" s="217" t="s">
        <v>238</v>
      </c>
      <c r="C107" s="218"/>
      <c r="D107" s="218"/>
      <c r="E107" s="218"/>
      <c r="F107" s="218"/>
      <c r="G107" s="218"/>
      <c r="H107" s="218"/>
      <c r="I107" s="218"/>
      <c r="J107" s="219"/>
    </row>
    <row r="108" spans="1:10" ht="22.8">
      <c r="A108" s="2" t="s">
        <v>239</v>
      </c>
      <c r="B108" s="3" t="s">
        <v>240</v>
      </c>
      <c r="C108" s="2" t="s">
        <v>241</v>
      </c>
      <c r="D108" s="3" t="s">
        <v>16</v>
      </c>
      <c r="E108" s="3" t="s">
        <v>154</v>
      </c>
      <c r="F108" s="4">
        <v>5</v>
      </c>
      <c r="G108" s="211" t="s">
        <v>479</v>
      </c>
      <c r="H108" s="212"/>
      <c r="I108" s="212"/>
      <c r="J108" s="213"/>
    </row>
    <row r="109" spans="1:10" ht="34.200000000000003">
      <c r="A109" s="2" t="s">
        <v>242</v>
      </c>
      <c r="B109" s="3" t="s">
        <v>243</v>
      </c>
      <c r="C109" s="2" t="s">
        <v>244</v>
      </c>
      <c r="D109" s="3" t="s">
        <v>38</v>
      </c>
      <c r="E109" s="3" t="s">
        <v>162</v>
      </c>
      <c r="F109" s="4">
        <v>4</v>
      </c>
      <c r="G109" s="211" t="s">
        <v>479</v>
      </c>
      <c r="H109" s="212"/>
      <c r="I109" s="212"/>
      <c r="J109" s="213"/>
    </row>
    <row r="110" spans="1:10" ht="20.100000000000001" customHeight="1">
      <c r="A110" s="7" t="s">
        <v>245</v>
      </c>
      <c r="B110" s="217" t="s">
        <v>246</v>
      </c>
      <c r="C110" s="218"/>
      <c r="D110" s="218"/>
      <c r="E110" s="218"/>
      <c r="F110" s="218"/>
      <c r="G110" s="218"/>
      <c r="H110" s="218"/>
      <c r="I110" s="218"/>
      <c r="J110" s="219"/>
    </row>
    <row r="111" spans="1:10" ht="22.8">
      <c r="A111" s="2" t="s">
        <v>247</v>
      </c>
      <c r="B111" s="3" t="s">
        <v>248</v>
      </c>
      <c r="C111" s="2" t="s">
        <v>249</v>
      </c>
      <c r="D111" s="3" t="s">
        <v>38</v>
      </c>
      <c r="E111" s="3" t="s">
        <v>162</v>
      </c>
      <c r="F111" s="4">
        <v>1</v>
      </c>
      <c r="G111" s="211" t="s">
        <v>479</v>
      </c>
      <c r="H111" s="212"/>
      <c r="I111" s="212"/>
      <c r="J111" s="213"/>
    </row>
    <row r="112" spans="1:10" ht="20.100000000000001" customHeight="1">
      <c r="A112" s="8" t="s">
        <v>250</v>
      </c>
      <c r="B112" s="220" t="s">
        <v>251</v>
      </c>
      <c r="C112" s="221"/>
      <c r="D112" s="221"/>
      <c r="E112" s="221"/>
      <c r="F112" s="221"/>
      <c r="G112" s="221"/>
      <c r="H112" s="221"/>
      <c r="I112" s="221"/>
      <c r="J112" s="222"/>
    </row>
    <row r="113" spans="1:10" ht="20.100000000000001" customHeight="1">
      <c r="A113" s="49" t="s">
        <v>435</v>
      </c>
      <c r="B113" s="217" t="s">
        <v>252</v>
      </c>
      <c r="C113" s="218"/>
      <c r="D113" s="218"/>
      <c r="E113" s="218"/>
      <c r="F113" s="218"/>
      <c r="G113" s="218"/>
      <c r="H113" s="218"/>
      <c r="I113" s="218"/>
      <c r="J113" s="219"/>
    </row>
    <row r="114" spans="1:10" ht="34.200000000000003">
      <c r="A114" s="46" t="s">
        <v>436</v>
      </c>
      <c r="B114" s="3">
        <v>91926</v>
      </c>
      <c r="C114" s="2" t="s">
        <v>253</v>
      </c>
      <c r="D114" s="3" t="s">
        <v>38</v>
      </c>
      <c r="E114" s="3" t="s">
        <v>97</v>
      </c>
      <c r="F114" s="4">
        <v>134.07</v>
      </c>
      <c r="G114" s="211" t="s">
        <v>479</v>
      </c>
      <c r="H114" s="212"/>
      <c r="I114" s="212"/>
      <c r="J114" s="213"/>
    </row>
    <row r="115" spans="1:10" ht="34.200000000000003">
      <c r="A115" s="46" t="s">
        <v>437</v>
      </c>
      <c r="B115" s="3" t="s">
        <v>254</v>
      </c>
      <c r="C115" s="2" t="s">
        <v>255</v>
      </c>
      <c r="D115" s="3" t="s">
        <v>38</v>
      </c>
      <c r="E115" s="3" t="s">
        <v>97</v>
      </c>
      <c r="F115" s="4">
        <v>200.7</v>
      </c>
      <c r="G115" s="211" t="s">
        <v>479</v>
      </c>
      <c r="H115" s="212"/>
      <c r="I115" s="212"/>
      <c r="J115" s="213"/>
    </row>
    <row r="116" spans="1:10" ht="34.200000000000003">
      <c r="A116" s="46" t="s">
        <v>438</v>
      </c>
      <c r="B116" s="3" t="s">
        <v>256</v>
      </c>
      <c r="C116" s="2" t="s">
        <v>257</v>
      </c>
      <c r="D116" s="3" t="s">
        <v>38</v>
      </c>
      <c r="E116" s="3" t="s">
        <v>97</v>
      </c>
      <c r="F116" s="4">
        <v>20</v>
      </c>
      <c r="G116" s="211" t="s">
        <v>479</v>
      </c>
      <c r="H116" s="212"/>
      <c r="I116" s="212"/>
      <c r="J116" s="213"/>
    </row>
    <row r="117" spans="1:10" ht="20.100000000000001" customHeight="1">
      <c r="A117" s="49" t="s">
        <v>439</v>
      </c>
      <c r="B117" s="217" t="s">
        <v>258</v>
      </c>
      <c r="C117" s="218"/>
      <c r="D117" s="218"/>
      <c r="E117" s="218"/>
      <c r="F117" s="218"/>
      <c r="G117" s="218"/>
      <c r="H117" s="218"/>
      <c r="I117" s="218"/>
      <c r="J117" s="219"/>
    </row>
    <row r="118" spans="1:10" ht="34.200000000000003">
      <c r="A118" s="46" t="s">
        <v>440</v>
      </c>
      <c r="B118" s="3" t="s">
        <v>259</v>
      </c>
      <c r="C118" s="2" t="s">
        <v>260</v>
      </c>
      <c r="D118" s="3" t="s">
        <v>38</v>
      </c>
      <c r="E118" s="3" t="s">
        <v>162</v>
      </c>
      <c r="F118" s="4">
        <v>7</v>
      </c>
      <c r="G118" s="211" t="s">
        <v>479</v>
      </c>
      <c r="H118" s="212"/>
      <c r="I118" s="212"/>
      <c r="J118" s="213"/>
    </row>
    <row r="119" spans="1:10" ht="22.8">
      <c r="A119" s="46" t="s">
        <v>441</v>
      </c>
      <c r="B119" s="3" t="s">
        <v>261</v>
      </c>
      <c r="C119" s="2" t="s">
        <v>262</v>
      </c>
      <c r="D119" s="3" t="s">
        <v>16</v>
      </c>
      <c r="E119" s="3" t="s">
        <v>17</v>
      </c>
      <c r="F119" s="4">
        <v>5</v>
      </c>
      <c r="G119" s="211" t="s">
        <v>479</v>
      </c>
      <c r="H119" s="212"/>
      <c r="I119" s="212"/>
      <c r="J119" s="213"/>
    </row>
    <row r="120" spans="1:10" ht="22.8">
      <c r="A120" s="46" t="s">
        <v>442</v>
      </c>
      <c r="B120" s="3" t="s">
        <v>263</v>
      </c>
      <c r="C120" s="2" t="s">
        <v>264</v>
      </c>
      <c r="D120" s="3" t="s">
        <v>16</v>
      </c>
      <c r="E120" s="3" t="s">
        <v>154</v>
      </c>
      <c r="F120" s="4">
        <v>2</v>
      </c>
      <c r="G120" s="211" t="s">
        <v>479</v>
      </c>
      <c r="H120" s="212"/>
      <c r="I120" s="212"/>
      <c r="J120" s="213"/>
    </row>
    <row r="121" spans="1:10">
      <c r="A121" s="46" t="s">
        <v>443</v>
      </c>
      <c r="B121" s="3" t="s">
        <v>265</v>
      </c>
      <c r="C121" s="2" t="s">
        <v>266</v>
      </c>
      <c r="D121" s="3" t="s">
        <v>16</v>
      </c>
      <c r="E121" s="3" t="s">
        <v>154</v>
      </c>
      <c r="F121" s="4">
        <v>5</v>
      </c>
      <c r="G121" s="211" t="s">
        <v>479</v>
      </c>
      <c r="H121" s="212"/>
      <c r="I121" s="212"/>
      <c r="J121" s="213"/>
    </row>
    <row r="122" spans="1:10" ht="20.100000000000001" customHeight="1">
      <c r="A122" s="49" t="s">
        <v>444</v>
      </c>
      <c r="B122" s="217" t="s">
        <v>267</v>
      </c>
      <c r="C122" s="218"/>
      <c r="D122" s="218"/>
      <c r="E122" s="218"/>
      <c r="F122" s="218"/>
      <c r="G122" s="218"/>
      <c r="H122" s="218"/>
      <c r="I122" s="218"/>
      <c r="J122" s="219"/>
    </row>
    <row r="123" spans="1:10" ht="22.8">
      <c r="A123" s="46" t="s">
        <v>445</v>
      </c>
      <c r="B123" s="3" t="s">
        <v>268</v>
      </c>
      <c r="C123" s="2" t="s">
        <v>269</v>
      </c>
      <c r="D123" s="3" t="s">
        <v>16</v>
      </c>
      <c r="E123" s="3" t="s">
        <v>154</v>
      </c>
      <c r="F123" s="4">
        <v>2</v>
      </c>
      <c r="G123" s="211" t="s">
        <v>479</v>
      </c>
      <c r="H123" s="212"/>
      <c r="I123" s="212"/>
      <c r="J123" s="213"/>
    </row>
    <row r="124" spans="1:10" ht="22.8">
      <c r="A124" s="46" t="s">
        <v>446</v>
      </c>
      <c r="B124" s="3" t="s">
        <v>270</v>
      </c>
      <c r="C124" s="2" t="s">
        <v>271</v>
      </c>
      <c r="D124" s="3" t="s">
        <v>16</v>
      </c>
      <c r="E124" s="3" t="s">
        <v>154</v>
      </c>
      <c r="F124" s="4">
        <v>2</v>
      </c>
      <c r="G124" s="211" t="s">
        <v>479</v>
      </c>
      <c r="H124" s="212"/>
      <c r="I124" s="212"/>
      <c r="J124" s="213"/>
    </row>
    <row r="125" spans="1:10">
      <c r="A125" s="46" t="s">
        <v>447</v>
      </c>
      <c r="B125" s="3" t="s">
        <v>272</v>
      </c>
      <c r="C125" s="2" t="s">
        <v>273</v>
      </c>
      <c r="D125" s="3" t="s">
        <v>16</v>
      </c>
      <c r="E125" s="3" t="s">
        <v>154</v>
      </c>
      <c r="F125" s="4">
        <v>1</v>
      </c>
      <c r="G125" s="211" t="s">
        <v>479</v>
      </c>
      <c r="H125" s="212"/>
      <c r="I125" s="212"/>
      <c r="J125" s="213"/>
    </row>
    <row r="126" spans="1:10" ht="22.8">
      <c r="A126" s="46" t="s">
        <v>448</v>
      </c>
      <c r="B126" s="3" t="s">
        <v>274</v>
      </c>
      <c r="C126" s="2" t="s">
        <v>275</v>
      </c>
      <c r="D126" s="3" t="s">
        <v>38</v>
      </c>
      <c r="E126" s="3" t="s">
        <v>162</v>
      </c>
      <c r="F126" s="4">
        <v>2</v>
      </c>
      <c r="G126" s="211" t="s">
        <v>479</v>
      </c>
      <c r="H126" s="212"/>
      <c r="I126" s="212"/>
      <c r="J126" s="213"/>
    </row>
    <row r="127" spans="1:10" ht="20.100000000000001" customHeight="1">
      <c r="A127" s="49" t="s">
        <v>449</v>
      </c>
      <c r="B127" s="217" t="s">
        <v>276</v>
      </c>
      <c r="C127" s="218"/>
      <c r="D127" s="218"/>
      <c r="E127" s="218"/>
      <c r="F127" s="218"/>
      <c r="G127" s="218"/>
      <c r="H127" s="218"/>
      <c r="I127" s="218"/>
      <c r="J127" s="219"/>
    </row>
    <row r="128" spans="1:10" ht="34.200000000000003">
      <c r="A128" s="46" t="s">
        <v>450</v>
      </c>
      <c r="B128" s="3" t="s">
        <v>277</v>
      </c>
      <c r="C128" s="2" t="s">
        <v>278</v>
      </c>
      <c r="D128" s="3" t="s">
        <v>38</v>
      </c>
      <c r="E128" s="3" t="s">
        <v>97</v>
      </c>
      <c r="F128" s="4">
        <v>93.34</v>
      </c>
      <c r="G128" s="211" t="s">
        <v>479</v>
      </c>
      <c r="H128" s="212"/>
      <c r="I128" s="212"/>
      <c r="J128" s="213"/>
    </row>
    <row r="129" spans="1:10" ht="20.100000000000001" customHeight="1">
      <c r="A129" s="49" t="s">
        <v>451</v>
      </c>
      <c r="B129" s="217" t="s">
        <v>279</v>
      </c>
      <c r="C129" s="218"/>
      <c r="D129" s="218"/>
      <c r="E129" s="218"/>
      <c r="F129" s="218"/>
      <c r="G129" s="218"/>
      <c r="H129" s="218"/>
      <c r="I129" s="218"/>
      <c r="J129" s="219"/>
    </row>
    <row r="130" spans="1:10" ht="22.8">
      <c r="A130" s="46" t="s">
        <v>452</v>
      </c>
      <c r="B130" s="3" t="s">
        <v>280</v>
      </c>
      <c r="C130" s="2" t="s">
        <v>281</v>
      </c>
      <c r="D130" s="3" t="s">
        <v>16</v>
      </c>
      <c r="E130" s="3" t="s">
        <v>112</v>
      </c>
      <c r="F130" s="4">
        <v>6</v>
      </c>
      <c r="G130" s="211" t="s">
        <v>479</v>
      </c>
      <c r="H130" s="212"/>
      <c r="I130" s="212"/>
      <c r="J130" s="213"/>
    </row>
    <row r="131" spans="1:10" ht="20.100000000000001" customHeight="1">
      <c r="A131" s="49" t="s">
        <v>453</v>
      </c>
      <c r="B131" s="217" t="s">
        <v>282</v>
      </c>
      <c r="C131" s="218"/>
      <c r="D131" s="218"/>
      <c r="E131" s="218"/>
      <c r="F131" s="218"/>
      <c r="G131" s="218"/>
      <c r="H131" s="218"/>
      <c r="I131" s="218"/>
      <c r="J131" s="219"/>
    </row>
    <row r="132" spans="1:10" ht="38.25" customHeight="1">
      <c r="A132" s="46" t="s">
        <v>454</v>
      </c>
      <c r="B132" s="47" t="s">
        <v>405</v>
      </c>
      <c r="C132" s="2" t="s">
        <v>283</v>
      </c>
      <c r="D132" s="3" t="s">
        <v>16</v>
      </c>
      <c r="E132" s="3" t="s">
        <v>154</v>
      </c>
      <c r="F132" s="4">
        <v>7</v>
      </c>
      <c r="G132" s="211" t="s">
        <v>479</v>
      </c>
      <c r="H132" s="212"/>
      <c r="I132" s="212"/>
      <c r="J132" s="213"/>
    </row>
    <row r="133" spans="1:10" ht="45.6">
      <c r="A133" s="46" t="s">
        <v>455</v>
      </c>
      <c r="B133" s="47" t="s">
        <v>406</v>
      </c>
      <c r="C133" s="46" t="s">
        <v>407</v>
      </c>
      <c r="D133" s="47" t="s">
        <v>382</v>
      </c>
      <c r="E133" s="47" t="s">
        <v>410</v>
      </c>
      <c r="F133" s="4">
        <v>3</v>
      </c>
      <c r="G133" s="211" t="s">
        <v>479</v>
      </c>
      <c r="H133" s="212"/>
      <c r="I133" s="212"/>
      <c r="J133" s="213"/>
    </row>
    <row r="134" spans="1:10" ht="22.8">
      <c r="A134" s="46" t="s">
        <v>456</v>
      </c>
      <c r="B134" s="47">
        <v>92865</v>
      </c>
      <c r="C134" s="46" t="s">
        <v>411</v>
      </c>
      <c r="D134" s="47" t="s">
        <v>408</v>
      </c>
      <c r="E134" s="47" t="s">
        <v>394</v>
      </c>
      <c r="F134" s="4">
        <v>7</v>
      </c>
      <c r="G134" s="211" t="s">
        <v>479</v>
      </c>
      <c r="H134" s="212"/>
      <c r="I134" s="212"/>
      <c r="J134" s="213"/>
    </row>
    <row r="135" spans="1:10" ht="34.200000000000003">
      <c r="A135" s="46" t="s">
        <v>457</v>
      </c>
      <c r="B135" s="47">
        <v>92869</v>
      </c>
      <c r="C135" s="46" t="s">
        <v>412</v>
      </c>
      <c r="D135" s="47" t="s">
        <v>408</v>
      </c>
      <c r="E135" s="47" t="s">
        <v>394</v>
      </c>
      <c r="F135" s="4">
        <v>17</v>
      </c>
      <c r="G135" s="211" t="s">
        <v>479</v>
      </c>
      <c r="H135" s="212"/>
      <c r="I135" s="212"/>
      <c r="J135" s="213"/>
    </row>
    <row r="136" spans="1:10" ht="34.200000000000003">
      <c r="A136" s="46" t="s">
        <v>458</v>
      </c>
      <c r="B136" s="47">
        <v>97592</v>
      </c>
      <c r="C136" s="46" t="s">
        <v>409</v>
      </c>
      <c r="D136" s="3" t="s">
        <v>408</v>
      </c>
      <c r="E136" s="3" t="s">
        <v>394</v>
      </c>
      <c r="F136" s="4">
        <v>7</v>
      </c>
      <c r="G136" s="211" t="s">
        <v>479</v>
      </c>
      <c r="H136" s="212"/>
      <c r="I136" s="212"/>
      <c r="J136" s="213"/>
    </row>
    <row r="137" spans="1:10" ht="20.100000000000001" customHeight="1">
      <c r="A137" s="49" t="s">
        <v>459</v>
      </c>
      <c r="B137" s="217" t="s">
        <v>284</v>
      </c>
      <c r="C137" s="218"/>
      <c r="D137" s="218"/>
      <c r="E137" s="218"/>
      <c r="F137" s="218"/>
      <c r="G137" s="218"/>
      <c r="H137" s="218"/>
      <c r="I137" s="218"/>
      <c r="J137" s="219"/>
    </row>
    <row r="138" spans="1:10" ht="34.200000000000003">
      <c r="A138" s="46" t="s">
        <v>460</v>
      </c>
      <c r="B138" s="3" t="s">
        <v>285</v>
      </c>
      <c r="C138" s="2" t="s">
        <v>286</v>
      </c>
      <c r="D138" s="3" t="s">
        <v>38</v>
      </c>
      <c r="E138" s="3" t="s">
        <v>162</v>
      </c>
      <c r="F138" s="4">
        <v>1</v>
      </c>
      <c r="G138" s="211" t="s">
        <v>479</v>
      </c>
      <c r="H138" s="212"/>
      <c r="I138" s="212"/>
      <c r="J138" s="213"/>
    </row>
    <row r="139" spans="1:10" ht="34.200000000000003">
      <c r="A139" s="46" t="s">
        <v>461</v>
      </c>
      <c r="B139" s="3" t="s">
        <v>287</v>
      </c>
      <c r="C139" s="2" t="s">
        <v>288</v>
      </c>
      <c r="D139" s="3" t="s">
        <v>16</v>
      </c>
      <c r="E139" s="3" t="s">
        <v>17</v>
      </c>
      <c r="F139" s="4">
        <v>1</v>
      </c>
      <c r="G139" s="211" t="s">
        <v>479</v>
      </c>
      <c r="H139" s="212"/>
      <c r="I139" s="212"/>
      <c r="J139" s="213"/>
    </row>
    <row r="140" spans="1:10" ht="22.8">
      <c r="A140" s="46" t="s">
        <v>462</v>
      </c>
      <c r="B140" s="3" t="s">
        <v>289</v>
      </c>
      <c r="C140" s="2" t="s">
        <v>290</v>
      </c>
      <c r="D140" s="3" t="s">
        <v>16</v>
      </c>
      <c r="E140" s="3" t="s">
        <v>154</v>
      </c>
      <c r="F140" s="4">
        <v>2</v>
      </c>
      <c r="G140" s="211" t="s">
        <v>479</v>
      </c>
      <c r="H140" s="212"/>
      <c r="I140" s="212"/>
      <c r="J140" s="213"/>
    </row>
    <row r="141" spans="1:10" ht="34.200000000000003">
      <c r="A141" s="46" t="s">
        <v>463</v>
      </c>
      <c r="B141" s="3" t="s">
        <v>291</v>
      </c>
      <c r="C141" s="2" t="s">
        <v>292</v>
      </c>
      <c r="D141" s="3" t="s">
        <v>38</v>
      </c>
      <c r="E141" s="3" t="s">
        <v>162</v>
      </c>
      <c r="F141" s="4">
        <v>2</v>
      </c>
      <c r="G141" s="211" t="s">
        <v>479</v>
      </c>
      <c r="H141" s="212"/>
      <c r="I141" s="212"/>
      <c r="J141" s="213"/>
    </row>
    <row r="142" spans="1:10" ht="20.100000000000001" customHeight="1">
      <c r="A142" s="49" t="s">
        <v>464</v>
      </c>
      <c r="B142" s="217" t="s">
        <v>293</v>
      </c>
      <c r="C142" s="218"/>
      <c r="D142" s="218"/>
      <c r="E142" s="218"/>
      <c r="F142" s="218"/>
      <c r="G142" s="218"/>
      <c r="H142" s="218"/>
      <c r="I142" s="218"/>
      <c r="J142" s="219"/>
    </row>
    <row r="143" spans="1:10" ht="22.8">
      <c r="A143" s="46" t="s">
        <v>465</v>
      </c>
      <c r="B143" s="3" t="s">
        <v>294</v>
      </c>
      <c r="C143" s="2" t="s">
        <v>295</v>
      </c>
      <c r="D143" s="3" t="s">
        <v>16</v>
      </c>
      <c r="E143" s="3" t="s">
        <v>154</v>
      </c>
      <c r="F143" s="4">
        <v>1</v>
      </c>
      <c r="G143" s="211" t="s">
        <v>479</v>
      </c>
      <c r="H143" s="212"/>
      <c r="I143" s="212"/>
      <c r="J143" s="213"/>
    </row>
    <row r="144" spans="1:10" ht="20.100000000000001" customHeight="1">
      <c r="A144" s="49" t="s">
        <v>466</v>
      </c>
      <c r="B144" s="217" t="s">
        <v>296</v>
      </c>
      <c r="C144" s="218"/>
      <c r="D144" s="218"/>
      <c r="E144" s="218"/>
      <c r="F144" s="219"/>
      <c r="G144" s="214"/>
      <c r="H144" s="215"/>
      <c r="I144" s="215"/>
      <c r="J144" s="216"/>
    </row>
    <row r="145" spans="1:10" ht="45.6">
      <c r="A145" s="46" t="s">
        <v>467</v>
      </c>
      <c r="B145" s="3" t="s">
        <v>297</v>
      </c>
      <c r="C145" s="2" t="s">
        <v>298</v>
      </c>
      <c r="D145" s="3" t="s">
        <v>38</v>
      </c>
      <c r="E145" s="3" t="s">
        <v>162</v>
      </c>
      <c r="F145" s="4">
        <v>1</v>
      </c>
      <c r="G145" s="211" t="s">
        <v>479</v>
      </c>
      <c r="H145" s="212"/>
      <c r="I145" s="212"/>
      <c r="J145" s="213"/>
    </row>
    <row r="146" spans="1:10" ht="20.100000000000001" customHeight="1">
      <c r="A146" s="8" t="s">
        <v>299</v>
      </c>
      <c r="B146" s="220" t="s">
        <v>300</v>
      </c>
      <c r="C146" s="221"/>
      <c r="D146" s="221"/>
      <c r="E146" s="221"/>
      <c r="F146" s="221"/>
      <c r="G146" s="221"/>
      <c r="H146" s="221"/>
      <c r="I146" s="221"/>
      <c r="J146" s="222"/>
    </row>
    <row r="147" spans="1:10" ht="108" customHeight="1">
      <c r="A147" s="2" t="s">
        <v>301</v>
      </c>
      <c r="B147" s="3" t="s">
        <v>302</v>
      </c>
      <c r="C147" s="2" t="s">
        <v>303</v>
      </c>
      <c r="D147" s="3" t="s">
        <v>16</v>
      </c>
      <c r="E147" s="3" t="s">
        <v>423</v>
      </c>
      <c r="F147" s="4">
        <v>2</v>
      </c>
      <c r="G147" s="211" t="s">
        <v>479</v>
      </c>
      <c r="H147" s="212"/>
      <c r="I147" s="212"/>
      <c r="J147" s="213"/>
    </row>
    <row r="148" spans="1:10" ht="34.200000000000003">
      <c r="A148" s="2" t="s">
        <v>468</v>
      </c>
      <c r="B148" s="3" t="s">
        <v>304</v>
      </c>
      <c r="C148" s="2" t="s">
        <v>305</v>
      </c>
      <c r="D148" s="3" t="s">
        <v>38</v>
      </c>
      <c r="E148" s="3" t="s">
        <v>162</v>
      </c>
      <c r="F148" s="4">
        <v>2</v>
      </c>
      <c r="G148" s="211" t="s">
        <v>479</v>
      </c>
      <c r="H148" s="212"/>
      <c r="I148" s="212"/>
      <c r="J148" s="213"/>
    </row>
    <row r="149" spans="1:10" ht="22.8">
      <c r="A149" s="2" t="s">
        <v>469</v>
      </c>
      <c r="B149" s="3" t="s">
        <v>306</v>
      </c>
      <c r="C149" s="2" t="s">
        <v>307</v>
      </c>
      <c r="D149" s="3" t="s">
        <v>16</v>
      </c>
      <c r="E149" s="3" t="s">
        <v>20</v>
      </c>
      <c r="F149" s="4">
        <f>2.3*0.4+1.5*0.6</f>
        <v>1.8199999999999998</v>
      </c>
      <c r="G149" s="211" t="s">
        <v>479</v>
      </c>
      <c r="H149" s="212"/>
      <c r="I149" s="212"/>
      <c r="J149" s="213"/>
    </row>
    <row r="150" spans="1:10" ht="22.8">
      <c r="A150" s="2" t="s">
        <v>417</v>
      </c>
      <c r="B150" s="3">
        <v>95545</v>
      </c>
      <c r="C150" s="2" t="s">
        <v>414</v>
      </c>
      <c r="D150" s="3" t="s">
        <v>408</v>
      </c>
      <c r="E150" s="3" t="s">
        <v>394</v>
      </c>
      <c r="F150" s="4"/>
      <c r="G150" s="211" t="s">
        <v>479</v>
      </c>
      <c r="H150" s="212"/>
      <c r="I150" s="212"/>
      <c r="J150" s="213"/>
    </row>
    <row r="151" spans="1:10" ht="59.25" customHeight="1">
      <c r="A151" s="2" t="s">
        <v>418</v>
      </c>
      <c r="B151" s="3" t="s">
        <v>422</v>
      </c>
      <c r="C151" s="2" t="s">
        <v>424</v>
      </c>
      <c r="D151" s="3" t="s">
        <v>382</v>
      </c>
      <c r="E151" s="3" t="s">
        <v>394</v>
      </c>
      <c r="F151" s="4">
        <v>1</v>
      </c>
      <c r="G151" s="211" t="s">
        <v>479</v>
      </c>
      <c r="H151" s="212"/>
      <c r="I151" s="212"/>
      <c r="J151" s="213"/>
    </row>
    <row r="152" spans="1:10" ht="41.25" customHeight="1">
      <c r="A152" s="2" t="s">
        <v>419</v>
      </c>
      <c r="B152" s="3" t="s">
        <v>425</v>
      </c>
      <c r="C152" s="2" t="s">
        <v>426</v>
      </c>
      <c r="D152" s="3" t="s">
        <v>382</v>
      </c>
      <c r="E152" s="3" t="s">
        <v>394</v>
      </c>
      <c r="F152" s="4">
        <v>1</v>
      </c>
      <c r="G152" s="211" t="s">
        <v>479</v>
      </c>
      <c r="H152" s="212"/>
      <c r="I152" s="212"/>
      <c r="J152" s="213"/>
    </row>
    <row r="153" spans="1:10" ht="22.8">
      <c r="A153" s="2" t="s">
        <v>420</v>
      </c>
      <c r="B153" s="3">
        <v>100849</v>
      </c>
      <c r="C153" s="2" t="s">
        <v>415</v>
      </c>
      <c r="D153" s="3" t="s">
        <v>408</v>
      </c>
      <c r="E153" s="3" t="s">
        <v>394</v>
      </c>
      <c r="F153" s="4">
        <v>2</v>
      </c>
      <c r="G153" s="211" t="s">
        <v>479</v>
      </c>
      <c r="H153" s="212"/>
      <c r="I153" s="212"/>
      <c r="J153" s="213"/>
    </row>
    <row r="154" spans="1:10" ht="22.8">
      <c r="A154" s="2" t="s">
        <v>421</v>
      </c>
      <c r="B154" s="3">
        <v>95544</v>
      </c>
      <c r="C154" s="2" t="s">
        <v>416</v>
      </c>
      <c r="D154" s="3" t="s">
        <v>408</v>
      </c>
      <c r="E154" s="3" t="s">
        <v>394</v>
      </c>
      <c r="F154" s="4">
        <v>2</v>
      </c>
      <c r="G154" s="211" t="s">
        <v>479</v>
      </c>
      <c r="H154" s="212"/>
      <c r="I154" s="212"/>
      <c r="J154" s="213"/>
    </row>
    <row r="155" spans="1:10" ht="34.200000000000003">
      <c r="A155" s="2" t="s">
        <v>427</v>
      </c>
      <c r="B155" s="3">
        <v>86904</v>
      </c>
      <c r="C155" s="2" t="s">
        <v>413</v>
      </c>
      <c r="D155" s="3" t="s">
        <v>38</v>
      </c>
      <c r="E155" s="3" t="s">
        <v>162</v>
      </c>
      <c r="F155" s="4">
        <v>2</v>
      </c>
      <c r="G155" s="211" t="s">
        <v>479</v>
      </c>
      <c r="H155" s="212"/>
      <c r="I155" s="212"/>
      <c r="J155" s="213"/>
    </row>
    <row r="156" spans="1:10" ht="34.200000000000003">
      <c r="A156" s="2" t="s">
        <v>428</v>
      </c>
      <c r="B156" s="3" t="s">
        <v>201</v>
      </c>
      <c r="C156" s="2" t="s">
        <v>202</v>
      </c>
      <c r="D156" s="3" t="s">
        <v>38</v>
      </c>
      <c r="E156" s="3" t="s">
        <v>162</v>
      </c>
      <c r="F156" s="4">
        <v>2</v>
      </c>
      <c r="G156" s="211" t="s">
        <v>479</v>
      </c>
      <c r="H156" s="212"/>
      <c r="I156" s="212"/>
      <c r="J156" s="213"/>
    </row>
    <row r="157" spans="1:10">
      <c r="C157" s="105"/>
      <c r="D157" s="105"/>
      <c r="E157" s="105"/>
      <c r="F157" s="105"/>
      <c r="G157" s="105"/>
      <c r="H157" s="105"/>
      <c r="I157" s="105"/>
    </row>
    <row r="158" spans="1:10">
      <c r="C158" s="50"/>
      <c r="D158" s="50"/>
      <c r="E158" s="50"/>
      <c r="F158" s="50"/>
      <c r="G158" s="50"/>
      <c r="H158" s="50"/>
      <c r="I158" s="50"/>
    </row>
    <row r="159" spans="1:10">
      <c r="C159" s="105"/>
      <c r="D159" s="105"/>
      <c r="E159" s="105"/>
      <c r="F159" s="105"/>
      <c r="G159" s="105"/>
      <c r="H159" s="105"/>
      <c r="I159" s="105"/>
    </row>
    <row r="160" spans="1:10">
      <c r="C160" s="223" t="s">
        <v>327</v>
      </c>
      <c r="D160" s="223"/>
      <c r="E160" s="223"/>
      <c r="F160" s="223"/>
      <c r="G160" s="223"/>
      <c r="H160" s="223"/>
      <c r="I160" s="223"/>
    </row>
    <row r="161" spans="3:9">
      <c r="C161" s="223" t="s">
        <v>403</v>
      </c>
      <c r="D161" s="223"/>
      <c r="E161" s="223"/>
      <c r="F161" s="223"/>
      <c r="G161" s="223"/>
      <c r="H161" s="223"/>
      <c r="I161" s="223"/>
    </row>
    <row r="163" spans="3:9">
      <c r="C163" s="105"/>
      <c r="D163" s="105"/>
      <c r="E163" s="105"/>
      <c r="F163" s="105"/>
      <c r="G163" s="105"/>
      <c r="H163" s="105"/>
      <c r="I163" s="105"/>
    </row>
    <row r="164" spans="3:9">
      <c r="C164" s="223" t="s">
        <v>404</v>
      </c>
      <c r="D164" s="223"/>
      <c r="E164" s="223"/>
      <c r="F164" s="223"/>
      <c r="G164" s="223"/>
      <c r="H164" s="223"/>
      <c r="I164" s="223"/>
    </row>
  </sheetData>
  <mergeCells count="166">
    <mergeCell ref="A1:J1"/>
    <mergeCell ref="A2:J2"/>
    <mergeCell ref="G13:J13"/>
    <mergeCell ref="B14:J14"/>
    <mergeCell ref="G15:J15"/>
    <mergeCell ref="B16:J16"/>
    <mergeCell ref="A6:F6"/>
    <mergeCell ref="A7:F7"/>
    <mergeCell ref="A8:A9"/>
    <mergeCell ref="B8:B9"/>
    <mergeCell ref="C8:C9"/>
    <mergeCell ref="D8:D9"/>
    <mergeCell ref="E8:E9"/>
    <mergeCell ref="F8:F9"/>
    <mergeCell ref="G90:J90"/>
    <mergeCell ref="B91:J91"/>
    <mergeCell ref="B78:J78"/>
    <mergeCell ref="G79:J79"/>
    <mergeCell ref="B80:J80"/>
    <mergeCell ref="B81:J81"/>
    <mergeCell ref="G68:J68"/>
    <mergeCell ref="B69:J69"/>
    <mergeCell ref="G70:J70"/>
    <mergeCell ref="G71:J71"/>
    <mergeCell ref="B82:J82"/>
    <mergeCell ref="G83:J83"/>
    <mergeCell ref="B84:J84"/>
    <mergeCell ref="G85:J85"/>
    <mergeCell ref="B86:J86"/>
    <mergeCell ref="G87:J87"/>
    <mergeCell ref="G72:J72"/>
    <mergeCell ref="G73:J73"/>
    <mergeCell ref="G74:J74"/>
    <mergeCell ref="B75:J75"/>
    <mergeCell ref="G76:J76"/>
    <mergeCell ref="B77:J77"/>
    <mergeCell ref="C161:I161"/>
    <mergeCell ref="C163:I163"/>
    <mergeCell ref="C164:I164"/>
    <mergeCell ref="G3:J7"/>
    <mergeCell ref="G8:J9"/>
    <mergeCell ref="G12:J12"/>
    <mergeCell ref="B10:J10"/>
    <mergeCell ref="B11:J11"/>
    <mergeCell ref="C157:I157"/>
    <mergeCell ref="C160:I160"/>
    <mergeCell ref="C159:I159"/>
    <mergeCell ref="G147:J147"/>
    <mergeCell ref="G148:J148"/>
    <mergeCell ref="G149:J149"/>
    <mergeCell ref="G132:J132"/>
    <mergeCell ref="G133:J133"/>
    <mergeCell ref="G134:J134"/>
    <mergeCell ref="G135:J135"/>
    <mergeCell ref="B110:J110"/>
    <mergeCell ref="G111:J111"/>
    <mergeCell ref="B112:J112"/>
    <mergeCell ref="B113:J113"/>
    <mergeCell ref="B88:J88"/>
    <mergeCell ref="G89:J89"/>
    <mergeCell ref="G23:J23"/>
    <mergeCell ref="G24:J24"/>
    <mergeCell ref="B25:J25"/>
    <mergeCell ref="G26:J26"/>
    <mergeCell ref="G27:J27"/>
    <mergeCell ref="G28:J28"/>
    <mergeCell ref="G17:J17"/>
    <mergeCell ref="G18:J18"/>
    <mergeCell ref="G19:J19"/>
    <mergeCell ref="G20:J20"/>
    <mergeCell ref="G21:J21"/>
    <mergeCell ref="G22:J22"/>
    <mergeCell ref="G42:J42"/>
    <mergeCell ref="B43:J43"/>
    <mergeCell ref="G39:J39"/>
    <mergeCell ref="G40:J40"/>
    <mergeCell ref="G41:J41"/>
    <mergeCell ref="G29:J29"/>
    <mergeCell ref="G30:J30"/>
    <mergeCell ref="B31:J31"/>
    <mergeCell ref="G32:J32"/>
    <mergeCell ref="G33:J33"/>
    <mergeCell ref="G34:J34"/>
    <mergeCell ref="G35:J35"/>
    <mergeCell ref="G36:J36"/>
    <mergeCell ref="B37:J37"/>
    <mergeCell ref="G38:J38"/>
    <mergeCell ref="G50:J50"/>
    <mergeCell ref="G51:J51"/>
    <mergeCell ref="G52:J52"/>
    <mergeCell ref="G53:J53"/>
    <mergeCell ref="B54:J54"/>
    <mergeCell ref="G55:J55"/>
    <mergeCell ref="G45:J45"/>
    <mergeCell ref="G46:J46"/>
    <mergeCell ref="G44:J44"/>
    <mergeCell ref="B47:J47"/>
    <mergeCell ref="G48:J48"/>
    <mergeCell ref="G49:J49"/>
    <mergeCell ref="B62:J62"/>
    <mergeCell ref="B63:J63"/>
    <mergeCell ref="B64:J64"/>
    <mergeCell ref="G65:J65"/>
    <mergeCell ref="B66:J66"/>
    <mergeCell ref="G67:J67"/>
    <mergeCell ref="G56:J56"/>
    <mergeCell ref="G57:J57"/>
    <mergeCell ref="G58:J58"/>
    <mergeCell ref="G59:J59"/>
    <mergeCell ref="G60:J60"/>
    <mergeCell ref="G61:J61"/>
    <mergeCell ref="G98:J98"/>
    <mergeCell ref="B99:J99"/>
    <mergeCell ref="B103:J103"/>
    <mergeCell ref="G100:J100"/>
    <mergeCell ref="G101:J101"/>
    <mergeCell ref="G102:J102"/>
    <mergeCell ref="B92:J92"/>
    <mergeCell ref="G93:J93"/>
    <mergeCell ref="G94:J94"/>
    <mergeCell ref="B95:J95"/>
    <mergeCell ref="G96:J96"/>
    <mergeCell ref="G97:J97"/>
    <mergeCell ref="G114:J114"/>
    <mergeCell ref="G115:J115"/>
    <mergeCell ref="G116:J116"/>
    <mergeCell ref="B117:J117"/>
    <mergeCell ref="G118:J118"/>
    <mergeCell ref="G119:J119"/>
    <mergeCell ref="G104:J104"/>
    <mergeCell ref="G105:J105"/>
    <mergeCell ref="G106:J106"/>
    <mergeCell ref="B107:J107"/>
    <mergeCell ref="G108:J108"/>
    <mergeCell ref="G109:J109"/>
    <mergeCell ref="G126:J126"/>
    <mergeCell ref="B127:J127"/>
    <mergeCell ref="G128:J128"/>
    <mergeCell ref="B129:J129"/>
    <mergeCell ref="G130:J130"/>
    <mergeCell ref="B131:J131"/>
    <mergeCell ref="G120:J120"/>
    <mergeCell ref="G121:J121"/>
    <mergeCell ref="B122:J122"/>
    <mergeCell ref="G123:J123"/>
    <mergeCell ref="G124:J124"/>
    <mergeCell ref="G125:J125"/>
    <mergeCell ref="B144:F144"/>
    <mergeCell ref="G145:J145"/>
    <mergeCell ref="B146:J146"/>
    <mergeCell ref="G136:J136"/>
    <mergeCell ref="B137:J137"/>
    <mergeCell ref="G138:J138"/>
    <mergeCell ref="G139:J139"/>
    <mergeCell ref="G140:J140"/>
    <mergeCell ref="B142:J142"/>
    <mergeCell ref="G156:J156"/>
    <mergeCell ref="G150:J150"/>
    <mergeCell ref="G151:J151"/>
    <mergeCell ref="G152:J152"/>
    <mergeCell ref="G153:J153"/>
    <mergeCell ref="G154:J154"/>
    <mergeCell ref="G155:J155"/>
    <mergeCell ref="G143:J143"/>
    <mergeCell ref="G141:J141"/>
    <mergeCell ref="G144:J144"/>
  </mergeCells>
  <pageMargins left="0.27777777777777779" right="0.27777777777777779" top="0.27777777777777779" bottom="0.27777777777777779" header="0" footer="0"/>
  <pageSetup paperSize="9" scale="7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37"/>
  <sheetViews>
    <sheetView tabSelected="1" view="pageBreakPreview" zoomScale="115" zoomScaleNormal="115" zoomScaleSheetLayoutView="115" workbookViewId="0">
      <selection activeCell="G5" sqref="G5"/>
    </sheetView>
  </sheetViews>
  <sheetFormatPr defaultColWidth="9.109375" defaultRowHeight="14.4"/>
  <cols>
    <col min="1" max="1" width="7.44140625" style="51" customWidth="1"/>
    <col min="2" max="2" width="39" style="51" customWidth="1"/>
    <col min="3" max="3" width="11" style="51" customWidth="1"/>
    <col min="4" max="4" width="13.44140625" style="51" customWidth="1"/>
    <col min="5" max="5" width="12" style="51" customWidth="1"/>
    <col min="6" max="6" width="12.5546875" style="51" customWidth="1"/>
    <col min="7" max="7" width="14.5546875" style="51" customWidth="1"/>
    <col min="8" max="8" width="17" style="51" customWidth="1"/>
    <col min="9" max="16384" width="9.109375" style="51"/>
  </cols>
  <sheetData>
    <row r="1" spans="1:8" ht="81.900000000000006" customHeight="1">
      <c r="A1" s="261"/>
      <c r="B1" s="262"/>
      <c r="C1" s="262"/>
      <c r="D1" s="262"/>
      <c r="E1" s="262"/>
      <c r="F1" s="262"/>
      <c r="G1" s="262"/>
      <c r="H1" s="263"/>
    </row>
    <row r="2" spans="1:8" ht="27" customHeight="1">
      <c r="A2" s="264" t="s">
        <v>506</v>
      </c>
      <c r="B2" s="265"/>
      <c r="C2" s="265"/>
      <c r="D2" s="265"/>
      <c r="E2" s="265"/>
      <c r="F2" s="265"/>
      <c r="G2" s="265"/>
      <c r="H2" s="266"/>
    </row>
    <row r="3" spans="1:8" ht="15.9" customHeight="1">
      <c r="A3" s="88" t="s">
        <v>510</v>
      </c>
      <c r="B3" s="54" t="s">
        <v>511</v>
      </c>
      <c r="C3" s="54" t="s">
        <v>512</v>
      </c>
      <c r="D3" s="54" t="s">
        <v>513</v>
      </c>
      <c r="E3" s="54" t="s">
        <v>514</v>
      </c>
      <c r="F3" s="55" t="s">
        <v>504</v>
      </c>
      <c r="G3" s="54" t="s">
        <v>505</v>
      </c>
      <c r="H3" s="89" t="s">
        <v>515</v>
      </c>
    </row>
    <row r="4" spans="1:8" ht="12" customHeight="1">
      <c r="A4" s="247" t="s">
        <v>516</v>
      </c>
      <c r="B4" s="249" t="s">
        <v>517</v>
      </c>
      <c r="C4" s="251">
        <f>orcamento!J11</f>
        <v>1810.4099999999999</v>
      </c>
      <c r="D4" s="58">
        <v>1</v>
      </c>
      <c r="E4" s="59"/>
      <c r="F4" s="59"/>
      <c r="G4" s="59"/>
      <c r="H4" s="90">
        <v>1</v>
      </c>
    </row>
    <row r="5" spans="1:8" ht="12.9" customHeight="1">
      <c r="A5" s="248"/>
      <c r="B5" s="250"/>
      <c r="C5" s="252"/>
      <c r="D5" s="60">
        <f>C4</f>
        <v>1810.4099999999999</v>
      </c>
      <c r="E5" s="59"/>
      <c r="F5" s="59"/>
      <c r="G5" s="59"/>
      <c r="H5" s="91">
        <f>SUM(D5:G5)</f>
        <v>1810.4099999999999</v>
      </c>
    </row>
    <row r="6" spans="1:8" ht="12" customHeight="1">
      <c r="A6" s="247" t="s">
        <v>518</v>
      </c>
      <c r="B6" s="249" t="s">
        <v>519</v>
      </c>
      <c r="C6" s="251">
        <f>orcamento!J14</f>
        <v>423</v>
      </c>
      <c r="D6" s="58">
        <v>1</v>
      </c>
      <c r="E6" s="59"/>
      <c r="F6" s="59"/>
      <c r="G6" s="59"/>
      <c r="H6" s="90">
        <v>1</v>
      </c>
    </row>
    <row r="7" spans="1:8" ht="12.9" customHeight="1">
      <c r="A7" s="248"/>
      <c r="B7" s="250"/>
      <c r="C7" s="252"/>
      <c r="D7" s="60">
        <f>C6</f>
        <v>423</v>
      </c>
      <c r="E7" s="59"/>
      <c r="F7" s="59"/>
      <c r="G7" s="59"/>
      <c r="H7" s="91">
        <f>SUM(D7:G7)</f>
        <v>423</v>
      </c>
    </row>
    <row r="8" spans="1:8" ht="12" customHeight="1">
      <c r="A8" s="247" t="s">
        <v>520</v>
      </c>
      <c r="B8" s="249" t="s">
        <v>521</v>
      </c>
      <c r="C8" s="251">
        <f>orcamento!J16</f>
        <v>7643.6100000000006</v>
      </c>
      <c r="D8" s="58">
        <v>1</v>
      </c>
      <c r="E8" s="59"/>
      <c r="F8" s="59"/>
      <c r="G8" s="59"/>
      <c r="H8" s="90">
        <v>1</v>
      </c>
    </row>
    <row r="9" spans="1:8" ht="19.5" customHeight="1">
      <c r="A9" s="248"/>
      <c r="B9" s="250"/>
      <c r="C9" s="252"/>
      <c r="D9" s="60">
        <f>C8</f>
        <v>7643.6100000000006</v>
      </c>
      <c r="E9" s="59"/>
      <c r="F9" s="59"/>
      <c r="G9" s="59"/>
      <c r="H9" s="91">
        <f>SUM(D9:G9)</f>
        <v>7643.6100000000006</v>
      </c>
    </row>
    <row r="10" spans="1:8" ht="12" customHeight="1">
      <c r="A10" s="247" t="s">
        <v>522</v>
      </c>
      <c r="B10" s="249" t="s">
        <v>523</v>
      </c>
      <c r="C10" s="251">
        <f>orcamento!J25</f>
        <v>15476.509999999998</v>
      </c>
      <c r="D10" s="58"/>
      <c r="E10" s="58">
        <v>1</v>
      </c>
      <c r="F10" s="59"/>
      <c r="G10" s="59"/>
      <c r="H10" s="90">
        <v>1</v>
      </c>
    </row>
    <row r="11" spans="1:8" ht="12.9" customHeight="1">
      <c r="A11" s="248"/>
      <c r="B11" s="250"/>
      <c r="C11" s="252"/>
      <c r="D11" s="59"/>
      <c r="E11" s="60">
        <f>C10</f>
        <v>15476.509999999998</v>
      </c>
      <c r="F11" s="59"/>
      <c r="G11" s="59"/>
      <c r="H11" s="91">
        <f>SUM(E11:G11)</f>
        <v>15476.509999999998</v>
      </c>
    </row>
    <row r="12" spans="1:8" ht="12" customHeight="1">
      <c r="A12" s="247" t="s">
        <v>524</v>
      </c>
      <c r="B12" s="249" t="s">
        <v>525</v>
      </c>
      <c r="C12" s="251">
        <f>orcamento!J31</f>
        <v>18215.96</v>
      </c>
      <c r="D12" s="59"/>
      <c r="E12" s="58">
        <v>0.5</v>
      </c>
      <c r="F12" s="58">
        <v>0.5</v>
      </c>
      <c r="G12" s="59"/>
      <c r="H12" s="90">
        <v>1</v>
      </c>
    </row>
    <row r="13" spans="1:8" ht="27" customHeight="1">
      <c r="A13" s="248"/>
      <c r="B13" s="250"/>
      <c r="C13" s="252"/>
      <c r="D13" s="59"/>
      <c r="E13" s="60">
        <f>E12*C12</f>
        <v>9107.98</v>
      </c>
      <c r="F13" s="60">
        <f>F12*C12</f>
        <v>9107.98</v>
      </c>
      <c r="G13" s="59"/>
      <c r="H13" s="91">
        <f>SUM(D13:G13)</f>
        <v>18215.96</v>
      </c>
    </row>
    <row r="14" spans="1:8" ht="12" customHeight="1">
      <c r="A14" s="247" t="s">
        <v>526</v>
      </c>
      <c r="B14" s="249" t="s">
        <v>527</v>
      </c>
      <c r="C14" s="251">
        <f>orcamento!J37</f>
        <v>5955.37</v>
      </c>
      <c r="D14" s="58"/>
      <c r="E14" s="59"/>
      <c r="F14" s="58">
        <v>1</v>
      </c>
      <c r="G14" s="59"/>
      <c r="H14" s="90">
        <v>1</v>
      </c>
    </row>
    <row r="15" spans="1:8" ht="12.9" customHeight="1">
      <c r="A15" s="248"/>
      <c r="B15" s="250"/>
      <c r="C15" s="252"/>
      <c r="D15" s="59"/>
      <c r="E15" s="59"/>
      <c r="F15" s="60">
        <f>C14</f>
        <v>5955.37</v>
      </c>
      <c r="G15" s="59"/>
      <c r="H15" s="91">
        <f>SUM(D15:G15)</f>
        <v>5955.37</v>
      </c>
    </row>
    <row r="16" spans="1:8" ht="12" customHeight="1">
      <c r="A16" s="247" t="s">
        <v>528</v>
      </c>
      <c r="B16" s="249" t="s">
        <v>529</v>
      </c>
      <c r="C16" s="251">
        <f>orcamento!J43</f>
        <v>12246.11</v>
      </c>
      <c r="D16" s="59"/>
      <c r="E16" s="58"/>
      <c r="F16" s="58">
        <v>0.5</v>
      </c>
      <c r="G16" s="58">
        <v>0.5</v>
      </c>
      <c r="H16" s="90">
        <v>1</v>
      </c>
    </row>
    <row r="17" spans="1:8" ht="12.9" customHeight="1">
      <c r="A17" s="248"/>
      <c r="B17" s="250"/>
      <c r="C17" s="252"/>
      <c r="D17" s="59"/>
      <c r="E17" s="58"/>
      <c r="F17" s="60">
        <f>F16*C16</f>
        <v>6123.0550000000003</v>
      </c>
      <c r="G17" s="60">
        <f>G16*C16</f>
        <v>6123.0550000000003</v>
      </c>
      <c r="H17" s="91">
        <f>SUM(E17:G17)</f>
        <v>12246.11</v>
      </c>
    </row>
    <row r="18" spans="1:8" ht="12" customHeight="1">
      <c r="A18" s="247" t="s">
        <v>530</v>
      </c>
      <c r="B18" s="249" t="s">
        <v>531</v>
      </c>
      <c r="C18" s="251">
        <f>orcamento!J47</f>
        <v>7310.7999999999993</v>
      </c>
      <c r="D18" s="59"/>
      <c r="E18" s="58"/>
      <c r="F18" s="58">
        <v>0.5</v>
      </c>
      <c r="G18" s="58">
        <v>0.5</v>
      </c>
      <c r="H18" s="90">
        <v>1</v>
      </c>
    </row>
    <row r="19" spans="1:8" ht="12.9" customHeight="1">
      <c r="A19" s="248"/>
      <c r="B19" s="250"/>
      <c r="C19" s="252"/>
      <c r="D19" s="59"/>
      <c r="E19" s="58"/>
      <c r="F19" s="60">
        <f>F18*C18</f>
        <v>3655.3999999999996</v>
      </c>
      <c r="G19" s="60">
        <f>G18*C18</f>
        <v>3655.3999999999996</v>
      </c>
      <c r="H19" s="91">
        <f>SUM(E19:G19)</f>
        <v>7310.7999999999993</v>
      </c>
    </row>
    <row r="20" spans="1:8" ht="12" customHeight="1">
      <c r="A20" s="247" t="s">
        <v>532</v>
      </c>
      <c r="B20" s="249" t="s">
        <v>533</v>
      </c>
      <c r="C20" s="251">
        <f>orcamento!J55</f>
        <v>4665.6899999999996</v>
      </c>
      <c r="D20" s="59"/>
      <c r="E20" s="58"/>
      <c r="F20" s="59"/>
      <c r="G20" s="58">
        <v>1</v>
      </c>
      <c r="H20" s="90">
        <v>1</v>
      </c>
    </row>
    <row r="21" spans="1:8" ht="12.9" customHeight="1">
      <c r="A21" s="248"/>
      <c r="B21" s="250"/>
      <c r="C21" s="252"/>
      <c r="D21" s="59"/>
      <c r="E21" s="58"/>
      <c r="F21" s="59"/>
      <c r="G21" s="60">
        <f>C20</f>
        <v>4665.6899999999996</v>
      </c>
      <c r="H21" s="91">
        <f>SUM(F21:G21)</f>
        <v>4665.6899999999996</v>
      </c>
    </row>
    <row r="22" spans="1:8" ht="12" customHeight="1">
      <c r="A22" s="247" t="s">
        <v>534</v>
      </c>
      <c r="B22" s="249" t="s">
        <v>535</v>
      </c>
      <c r="C22" s="251">
        <f>orcamento!J63</f>
        <v>7883.6</v>
      </c>
      <c r="D22" s="59"/>
      <c r="E22" s="58"/>
      <c r="F22" s="59"/>
      <c r="G22" s="58">
        <v>1</v>
      </c>
      <c r="H22" s="90">
        <v>1</v>
      </c>
    </row>
    <row r="23" spans="1:8" ht="12.9" customHeight="1">
      <c r="A23" s="248"/>
      <c r="B23" s="250"/>
      <c r="C23" s="252"/>
      <c r="D23" s="59"/>
      <c r="E23" s="58"/>
      <c r="F23" s="59"/>
      <c r="G23" s="60">
        <f>C22</f>
        <v>7883.6</v>
      </c>
      <c r="H23" s="91">
        <f>SUM(F23:G23)</f>
        <v>7883.6</v>
      </c>
    </row>
    <row r="24" spans="1:8" ht="12" customHeight="1">
      <c r="A24" s="247" t="s">
        <v>536</v>
      </c>
      <c r="B24" s="249" t="s">
        <v>537</v>
      </c>
      <c r="C24" s="251">
        <f>orcamento!J81</f>
        <v>3210.77</v>
      </c>
      <c r="D24" s="59"/>
      <c r="E24" s="58"/>
      <c r="F24" s="59"/>
      <c r="G24" s="58">
        <v>1</v>
      </c>
      <c r="H24" s="90">
        <v>1</v>
      </c>
    </row>
    <row r="25" spans="1:8" ht="12.9" customHeight="1">
      <c r="A25" s="248"/>
      <c r="B25" s="250"/>
      <c r="C25" s="252"/>
      <c r="D25" s="59"/>
      <c r="E25" s="58"/>
      <c r="F25" s="59"/>
      <c r="G25" s="60">
        <f>C24</f>
        <v>3210.77</v>
      </c>
      <c r="H25" s="91">
        <f>SUM(F25:G25)</f>
        <v>3210.77</v>
      </c>
    </row>
    <row r="26" spans="1:8" ht="12" customHeight="1">
      <c r="A26" s="247" t="s">
        <v>538</v>
      </c>
      <c r="B26" s="249" t="s">
        <v>539</v>
      </c>
      <c r="C26" s="251">
        <f>orcamento!J113</f>
        <v>7249.9800000000005</v>
      </c>
      <c r="D26" s="59"/>
      <c r="E26" s="58"/>
      <c r="F26" s="58"/>
      <c r="G26" s="58">
        <v>1</v>
      </c>
      <c r="H26" s="90">
        <v>1</v>
      </c>
    </row>
    <row r="27" spans="1:8" ht="12.9" customHeight="1">
      <c r="A27" s="248"/>
      <c r="B27" s="250"/>
      <c r="C27" s="252"/>
      <c r="D27" s="59"/>
      <c r="E27" s="58"/>
      <c r="F27" s="58"/>
      <c r="G27" s="60">
        <f>C26</f>
        <v>7249.9800000000005</v>
      </c>
      <c r="H27" s="91">
        <f>SUM(F27:G27)</f>
        <v>7249.9800000000005</v>
      </c>
    </row>
    <row r="28" spans="1:8" ht="12" customHeight="1">
      <c r="A28" s="247" t="s">
        <v>540</v>
      </c>
      <c r="B28" s="249" t="s">
        <v>541</v>
      </c>
      <c r="C28" s="251">
        <f>orcamento!J147</f>
        <v>4284.9299999999994</v>
      </c>
      <c r="D28" s="59"/>
      <c r="E28" s="58"/>
      <c r="F28" s="59"/>
      <c r="G28" s="58">
        <v>1</v>
      </c>
      <c r="H28" s="90">
        <v>1</v>
      </c>
    </row>
    <row r="29" spans="1:8" ht="12.9" customHeight="1">
      <c r="A29" s="248"/>
      <c r="B29" s="250"/>
      <c r="C29" s="252"/>
      <c r="D29" s="59"/>
      <c r="E29" s="58"/>
      <c r="F29" s="59"/>
      <c r="G29" s="60">
        <f>C28</f>
        <v>4284.9299999999994</v>
      </c>
      <c r="H29" s="91">
        <f>SUM(F29:G29)</f>
        <v>4284.9299999999994</v>
      </c>
    </row>
    <row r="30" spans="1:8" ht="22.5" customHeight="1">
      <c r="A30" s="92"/>
      <c r="B30" s="56"/>
      <c r="C30" s="254">
        <f>SUM(C4:C29)</f>
        <v>96376.74</v>
      </c>
      <c r="D30" s="57">
        <f>D31/C30</f>
        <v>0.10248344154409041</v>
      </c>
      <c r="E30" s="57">
        <f>E31/C30</f>
        <v>0.25508737896716571</v>
      </c>
      <c r="F30" s="57">
        <f>F31/C30</f>
        <v>0.25775726591291631</v>
      </c>
      <c r="G30" s="57">
        <f>G31/C30</f>
        <v>0.38467191357582747</v>
      </c>
      <c r="H30" s="256">
        <f>G31+F31+E31+D31</f>
        <v>96376.74</v>
      </c>
    </row>
    <row r="31" spans="1:8" ht="21.75" customHeight="1">
      <c r="A31" s="93"/>
      <c r="B31" s="53"/>
      <c r="C31" s="255"/>
      <c r="D31" s="52">
        <f>D9+D7+D5</f>
        <v>9877.02</v>
      </c>
      <c r="E31" s="52">
        <f>E13+E11</f>
        <v>24584.489999999998</v>
      </c>
      <c r="F31" s="52">
        <f>F19+F17+F15+F13</f>
        <v>24841.805</v>
      </c>
      <c r="G31" s="52">
        <f>G29+G27+G25+G23+G21+G19+G17</f>
        <v>37073.424999999996</v>
      </c>
      <c r="H31" s="257"/>
    </row>
    <row r="32" spans="1:8">
      <c r="A32" s="94"/>
      <c r="B32" s="95"/>
      <c r="C32" s="95"/>
      <c r="D32" s="95"/>
      <c r="E32" s="95"/>
      <c r="F32" s="95"/>
      <c r="G32" s="95"/>
      <c r="H32" s="96"/>
    </row>
    <row r="33" spans="1:8" ht="76.2" customHeight="1">
      <c r="A33" s="94"/>
      <c r="B33" s="246"/>
      <c r="C33" s="246"/>
      <c r="D33" s="246"/>
      <c r="E33" s="246"/>
      <c r="F33" s="246"/>
      <c r="G33" s="246"/>
      <c r="H33" s="253"/>
    </row>
    <row r="34" spans="1:8">
      <c r="A34" s="94"/>
      <c r="B34" s="258" t="s">
        <v>542</v>
      </c>
      <c r="C34" s="259"/>
      <c r="D34" s="259"/>
      <c r="E34" s="259"/>
      <c r="F34" s="259"/>
      <c r="G34" s="259"/>
      <c r="H34" s="260"/>
    </row>
    <row r="35" spans="1:8">
      <c r="A35" s="94"/>
      <c r="B35" s="258" t="s">
        <v>543</v>
      </c>
      <c r="C35" s="259"/>
      <c r="D35" s="259"/>
      <c r="E35" s="259"/>
      <c r="F35" s="259"/>
      <c r="G35" s="259"/>
      <c r="H35" s="260"/>
    </row>
    <row r="36" spans="1:8" ht="15" thickBot="1">
      <c r="A36" s="97"/>
      <c r="B36" s="98"/>
      <c r="C36" s="98"/>
      <c r="D36" s="98"/>
      <c r="E36" s="98"/>
      <c r="F36" s="98"/>
      <c r="G36" s="98"/>
      <c r="H36" s="99"/>
    </row>
    <row r="37" spans="1:8">
      <c r="B37" s="246"/>
      <c r="C37" s="246"/>
      <c r="D37" s="246"/>
      <c r="E37" s="246"/>
      <c r="F37" s="246"/>
      <c r="G37" s="246"/>
      <c r="H37" s="246"/>
    </row>
  </sheetData>
  <mergeCells count="47">
    <mergeCell ref="A1:H1"/>
    <mergeCell ref="A4:A5"/>
    <mergeCell ref="B4:B5"/>
    <mergeCell ref="C4:C5"/>
    <mergeCell ref="A6:A7"/>
    <mergeCell ref="B6:B7"/>
    <mergeCell ref="C6:C7"/>
    <mergeCell ref="A2:H2"/>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C22:C23"/>
    <mergeCell ref="A24:A25"/>
    <mergeCell ref="B24:B25"/>
    <mergeCell ref="C24:C25"/>
    <mergeCell ref="A18:A19"/>
    <mergeCell ref="B18:B19"/>
    <mergeCell ref="C18:C19"/>
    <mergeCell ref="A20:A21"/>
    <mergeCell ref="B20:B21"/>
    <mergeCell ref="C20:C21"/>
    <mergeCell ref="A22:A23"/>
    <mergeCell ref="B22:B23"/>
    <mergeCell ref="B37:H37"/>
    <mergeCell ref="A26:A27"/>
    <mergeCell ref="B26:B27"/>
    <mergeCell ref="C26:C27"/>
    <mergeCell ref="A28:A29"/>
    <mergeCell ref="B28:B29"/>
    <mergeCell ref="C28:C29"/>
    <mergeCell ref="B33:H33"/>
    <mergeCell ref="C30:C31"/>
    <mergeCell ref="H30:H31"/>
    <mergeCell ref="B34:H34"/>
    <mergeCell ref="B35:H35"/>
  </mergeCells>
  <pageMargins left="0.27777777777777779" right="0.27777777777777779" top="0" bottom="0.27777777777777779"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7</vt:i4>
      </vt:variant>
    </vt:vector>
  </HeadingPairs>
  <TitlesOfParts>
    <vt:vector size="11" baseType="lpstr">
      <vt:lpstr>orcamento</vt:lpstr>
      <vt:lpstr>COMPOSIÇÃO DE BDI</vt:lpstr>
      <vt:lpstr>CALCULO</vt:lpstr>
      <vt:lpstr>CRONOGRAMA </vt:lpstr>
      <vt:lpstr>CALCULO!Area_de_impressao</vt:lpstr>
      <vt:lpstr>'COMPOSIÇÃO DE BDI'!Area_de_impressao</vt:lpstr>
      <vt:lpstr>'CRONOGRAMA '!Area_de_impressao</vt:lpstr>
      <vt:lpstr>orcamento!Area_de_impressao</vt:lpstr>
      <vt:lpstr>CALCULO!JR_PAGE_ANCHOR_0_1</vt:lpstr>
      <vt:lpstr>'CRONOGRAMA '!JR_PAGE_ANCHOR_0_1</vt:lpstr>
      <vt:lpstr>JR_PAGE_ANCHOR_0_1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2022-05-18T17:05:40Z</dcterms:created>
  <dcterms:modified xsi:type="dcterms:W3CDTF">2022-06-09T15:16:17Z</dcterms:modified>
</cp:coreProperties>
</file>