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410" windowHeight="7425" activeTab="0"/>
  </bookViews>
  <sheets>
    <sheet name="PLANILHA " sheetId="1" r:id="rId1"/>
    <sheet name="Planilha1" sheetId="2" state="hidden" r:id="rId2"/>
    <sheet name="CRONOGRAMA" sheetId="3" state="hidden" r:id="rId3"/>
    <sheet name="CRONOGRAMA FISICO FINANCEIRO" sheetId="4" r:id="rId4"/>
    <sheet name="CALCULO" sheetId="5" r:id="rId5"/>
    <sheet name="BDI" sheetId="6" r:id="rId6"/>
    <sheet name="Planilha3" sheetId="7" state="hidden" r:id="rId7"/>
    <sheet name="PLANILHA  ADITIVO" sheetId="8" state="hidden" r:id="rId8"/>
    <sheet name="PLANILHA  (2)" sheetId="9" state="hidden" r:id="rId9"/>
  </sheets>
  <externalReferences>
    <externalReference r:id="rId12"/>
    <externalReference r:id="rId13"/>
  </externalReferences>
  <definedNames>
    <definedName name="_xlnm.Print_Area" localSheetId="5">'BDI'!$B$1:$S$42</definedName>
    <definedName name="_xlnm.Print_Area" localSheetId="4">'CALCULO'!$A$1:$I$158</definedName>
    <definedName name="_xlnm.Print_Area" localSheetId="3">'CRONOGRAMA FISICO FINANCEIRO'!$A$1:$J$50</definedName>
    <definedName name="_xlnm.Print_Area" localSheetId="0">'PLANILHA '!$A$1:$I$177</definedName>
    <definedName name="_xlnm.Print_Area" localSheetId="8">'PLANILHA  (2)'!$A$1:$I$32</definedName>
    <definedName name="_xlnm.Print_Area" localSheetId="7">'PLANILHA  ADITIVO'!$A$1:$I$30</definedName>
  </definedNames>
  <calcPr fullCalcOnLoad="1"/>
</workbook>
</file>

<file path=xl/sharedStrings.xml><?xml version="1.0" encoding="utf-8"?>
<sst xmlns="http://schemas.openxmlformats.org/spreadsheetml/2006/main" count="1353" uniqueCount="474">
  <si>
    <t xml:space="preserve">Planilha Orçamentária </t>
  </si>
  <si>
    <t>ITEM</t>
  </si>
  <si>
    <t>DESCRIÇÃO DOS SERVIÇOS</t>
  </si>
  <si>
    <t>UNID.</t>
  </si>
  <si>
    <t>QUANT.</t>
  </si>
  <si>
    <t>VALOR (R$)</t>
  </si>
  <si>
    <t xml:space="preserve">SERVIÇOS PRELIMINARES </t>
  </si>
  <si>
    <t>1.0</t>
  </si>
  <si>
    <t xml:space="preserve"> m²</t>
  </si>
  <si>
    <t>und</t>
  </si>
  <si>
    <t xml:space="preserve">Locação da obra (execução de gabarito) </t>
  </si>
  <si>
    <t xml:space="preserve">Placa da obra m² </t>
  </si>
  <si>
    <t>1.1</t>
  </si>
  <si>
    <t>1.2</t>
  </si>
  <si>
    <t>1.3</t>
  </si>
  <si>
    <t>1.4</t>
  </si>
  <si>
    <t>1.5</t>
  </si>
  <si>
    <t>Subtotal item 1.0</t>
  </si>
  <si>
    <t xml:space="preserve">Reaterro apiloado de vala com material da obra  </t>
  </si>
  <si>
    <t>m³</t>
  </si>
  <si>
    <t xml:space="preserve">Regularização e compactação do fundo de valas </t>
  </si>
  <si>
    <t xml:space="preserve">MOVIMENTO DE TERRAS </t>
  </si>
  <si>
    <t>2.0</t>
  </si>
  <si>
    <t>2.1</t>
  </si>
  <si>
    <t>2.2</t>
  </si>
  <si>
    <t>2.3</t>
  </si>
  <si>
    <t>2.4</t>
  </si>
  <si>
    <t>3.1.2</t>
  </si>
  <si>
    <t>3.2.2</t>
  </si>
  <si>
    <t>3.0</t>
  </si>
  <si>
    <t>CONCRETO ARMADO PARA FUNDAÇÕES - SAPATAS</t>
  </si>
  <si>
    <t>Concreto armado - para sapatas inclusive arranque dos pilares - (fck=25MPa), incluindo preparo, lançamento, adensamento e cura. Inclusive formas para reutilização 2X.</t>
  </si>
  <si>
    <t>CONCRETO ARMADO PARA FUNDAÇÕES - VIGAS BALDRAMES</t>
  </si>
  <si>
    <t xml:space="preserve">Lastro de concreto e=3,0 cm-reparo mecânico - incluso aditivo </t>
  </si>
  <si>
    <t>m²</t>
  </si>
  <si>
    <t>Subtotal item 2.0</t>
  </si>
  <si>
    <t>Subtotal item 3.0</t>
  </si>
  <si>
    <t>3.1</t>
  </si>
  <si>
    <t>3.1.1</t>
  </si>
  <si>
    <t>3.2</t>
  </si>
  <si>
    <t>3.2.1</t>
  </si>
  <si>
    <t>4.1.1</t>
  </si>
  <si>
    <t>4.2.1</t>
  </si>
  <si>
    <t>4.4.1</t>
  </si>
  <si>
    <t>4.0</t>
  </si>
  <si>
    <t>CONCRETO ARMADO PARA SUPERESTRUTURA - PILARES</t>
  </si>
  <si>
    <t>CONCRETO ARMADO PARA SUPERESTRUTURA - VIGAS DE RESPALDO</t>
  </si>
  <si>
    <t>CONCRETO ARMADO PARA SUPERESTRUTURA - VERGAS</t>
  </si>
  <si>
    <t>LAJE PRÉ-MOLDADA</t>
  </si>
  <si>
    <t>4.1</t>
  </si>
  <si>
    <t>4.2</t>
  </si>
  <si>
    <t>4.3</t>
  </si>
  <si>
    <t>4.3.1</t>
  </si>
  <si>
    <t>4.4</t>
  </si>
  <si>
    <t>Subtotal item 4.0</t>
  </si>
  <si>
    <t xml:space="preserve">PAREDES E PAINEIS </t>
  </si>
  <si>
    <t>5.0</t>
  </si>
  <si>
    <t>ALVENARIA DE VEDAÇÃO</t>
  </si>
  <si>
    <t>5.1</t>
  </si>
  <si>
    <t>5.1.1</t>
  </si>
  <si>
    <t>Subtotal item 5.0</t>
  </si>
  <si>
    <t>6.0</t>
  </si>
  <si>
    <t xml:space="preserve">ESQUADRIAS </t>
  </si>
  <si>
    <t>Subtotal item 6.0</t>
  </si>
  <si>
    <t>7.0</t>
  </si>
  <si>
    <t>7.1</t>
  </si>
  <si>
    <t>7.2</t>
  </si>
  <si>
    <t>7.3</t>
  </si>
  <si>
    <t>7.4</t>
  </si>
  <si>
    <t>m</t>
  </si>
  <si>
    <t>Subtotal item 7.0</t>
  </si>
  <si>
    <t>8.0</t>
  </si>
  <si>
    <t xml:space="preserve">IMPERMEABILIZAÇÀO </t>
  </si>
  <si>
    <t>8.1</t>
  </si>
  <si>
    <t>8.2</t>
  </si>
  <si>
    <t>Subtotal item 8.0</t>
  </si>
  <si>
    <t>9.0</t>
  </si>
  <si>
    <t>REVESTIMENTOS DE PAREDES</t>
  </si>
  <si>
    <t>9.1</t>
  </si>
  <si>
    <t>9.2</t>
  </si>
  <si>
    <t>9.3</t>
  </si>
  <si>
    <t>9.4</t>
  </si>
  <si>
    <t>9.5</t>
  </si>
  <si>
    <t>9.6</t>
  </si>
  <si>
    <t>Subtotal item 9.0</t>
  </si>
  <si>
    <t xml:space="preserve">PAVIMENTAÇÃO </t>
  </si>
  <si>
    <t>10.0</t>
  </si>
  <si>
    <t>10.1</t>
  </si>
  <si>
    <t>10.2</t>
  </si>
  <si>
    <t>10.3</t>
  </si>
  <si>
    <t>10.4</t>
  </si>
  <si>
    <t>10.5</t>
  </si>
  <si>
    <t>Subtotal item 10.0</t>
  </si>
  <si>
    <t>11.0</t>
  </si>
  <si>
    <t>Subtotal item 11.0</t>
  </si>
  <si>
    <t>11.1</t>
  </si>
  <si>
    <t>11.2</t>
  </si>
  <si>
    <t>11.3</t>
  </si>
  <si>
    <t xml:space="preserve">PINTURA </t>
  </si>
  <si>
    <t>12.0</t>
  </si>
  <si>
    <t>12.1</t>
  </si>
  <si>
    <t>12.2</t>
  </si>
  <si>
    <t>12.3</t>
  </si>
  <si>
    <t>12.4</t>
  </si>
  <si>
    <t>12.5</t>
  </si>
  <si>
    <t>12.6</t>
  </si>
  <si>
    <t>Subtotal item 12.0</t>
  </si>
  <si>
    <t>INSTALAÇÃO ELÉTRICA</t>
  </si>
  <si>
    <t>13.0</t>
  </si>
  <si>
    <t>Subtotal item 13.0</t>
  </si>
  <si>
    <t xml:space="preserve">INSTALAÇÃO HIDRÁULICA </t>
  </si>
  <si>
    <t>14.0</t>
  </si>
  <si>
    <t>14.1</t>
  </si>
  <si>
    <t>14.2</t>
  </si>
  <si>
    <t>Subtotal item 14.0</t>
  </si>
  <si>
    <t xml:space="preserve">INSTALAÇÃO SANITÁRIA </t>
  </si>
  <si>
    <t>15.0</t>
  </si>
  <si>
    <t>Subtotal item 15.0</t>
  </si>
  <si>
    <t>16.0</t>
  </si>
  <si>
    <t xml:space="preserve">LOUÇAS E METAIS </t>
  </si>
  <si>
    <t>16.1</t>
  </si>
  <si>
    <t xml:space="preserve">TANQUES E BANCADAS </t>
  </si>
  <si>
    <r>
      <t>Obra</t>
    </r>
    <r>
      <rPr>
        <sz val="10"/>
        <rFont val="Arial"/>
        <family val="0"/>
      </rPr>
      <t>:</t>
    </r>
  </si>
  <si>
    <r>
      <t>Município</t>
    </r>
    <r>
      <rPr>
        <sz val="10"/>
        <rFont val="Arial"/>
        <family val="0"/>
      </rPr>
      <t>:</t>
    </r>
  </si>
  <si>
    <r>
      <t>Endereço</t>
    </r>
    <r>
      <rPr>
        <sz val="10"/>
        <rFont val="Arial"/>
        <family val="0"/>
      </rPr>
      <t>:</t>
    </r>
  </si>
  <si>
    <t>13.1</t>
  </si>
  <si>
    <t>unid</t>
  </si>
  <si>
    <t>13.2</t>
  </si>
  <si>
    <t>13.3</t>
  </si>
  <si>
    <t>13.4</t>
  </si>
  <si>
    <t>13.5</t>
  </si>
  <si>
    <t>JANELAS DE FERRO</t>
  </si>
  <si>
    <t>Custo total com BDI incluso</t>
  </si>
  <si>
    <t>BDI adotado</t>
  </si>
  <si>
    <t xml:space="preserve"> Codigo</t>
  </si>
  <si>
    <t>Fonte</t>
  </si>
  <si>
    <t>Seinfra</t>
  </si>
  <si>
    <t>PR. UNIT.S/B(R$)</t>
  </si>
  <si>
    <t>PR. UNIT.C/B(R$)</t>
  </si>
  <si>
    <t>Setop</t>
  </si>
  <si>
    <t>C1630</t>
  </si>
  <si>
    <t>Sinapi</t>
  </si>
  <si>
    <t>1.6</t>
  </si>
  <si>
    <t>1.7</t>
  </si>
  <si>
    <t>1.8</t>
  </si>
  <si>
    <t>1.9</t>
  </si>
  <si>
    <t>1.10</t>
  </si>
  <si>
    <t>ED-51120</t>
  </si>
  <si>
    <t>ED-51122</t>
  </si>
  <si>
    <t xml:space="preserve"> </t>
  </si>
  <si>
    <t xml:space="preserve">Setop </t>
  </si>
  <si>
    <t xml:space="preserve">ED-50028 </t>
  </si>
  <si>
    <t>ED-50019</t>
  </si>
  <si>
    <t>Reaterro manual de vala</t>
  </si>
  <si>
    <t>Escavação manual para bloco de coroamento ou sapata, sem previsão de fôrma. Af_06/2017</t>
  </si>
  <si>
    <t>Lastro de concreto magro, aplicado em blocos de coroamento ou sapatas,  espessura de 3 cm</t>
  </si>
  <si>
    <t xml:space="preserve">Calha em chapa de aço galvanizado número 24, desenvolvimento de 33 cm, incluso transporte vertical. </t>
  </si>
  <si>
    <t>Impermeabilização de calha, viga-calha, jardineira c/manta asfáltica .auto-adesiva</t>
  </si>
  <si>
    <t>Chapisco c/ argamassa de cimento e areia s/ peneirar traço 1:4 p/ teto</t>
  </si>
  <si>
    <t xml:space="preserve">Reboco c/ argamassa de cimento e areia peneirada, traço 1:6 </t>
  </si>
  <si>
    <t xml:space="preserve">Reboco c/ argamassa de cal hidratada e areia s/ peneirar traço 1:4, c/ 100 kg de cimento e esp=20 mm p/ teto  </t>
  </si>
  <si>
    <t xml:space="preserve">C1207 </t>
  </si>
  <si>
    <t xml:space="preserve">C3022 </t>
  </si>
  <si>
    <t>Aplicação manual de pintura com tinta látex acrílica em paredes, duas    demãos</t>
  </si>
  <si>
    <t>Luminária tipo calha, de sobrepor, com 1 lâmpada tubular fluorescente  de 36 w, com reator de partida rápida - fornecimento e instalação</t>
  </si>
  <si>
    <t>Tomada média de embutir (1 módulo), 2p+t 10 a, incluindo suporte e pla  ca - fornecimento e instalação</t>
  </si>
  <si>
    <t>Interruptor simples (1 módulo), 10a/250v, incluindo suporte e placa -  fornecimento e instalação</t>
  </si>
  <si>
    <t>ED-49309</t>
  </si>
  <si>
    <t>Cabo isolado pvc 750v 10mm2</t>
  </si>
  <si>
    <t>Cabo isolado pvc 750v 4mm2</t>
  </si>
  <si>
    <t>Cabo isolado pvc 750v 2,5mm2</t>
  </si>
  <si>
    <t>Fornecimento e assentamento de tubo pvc rígido, esgoto, pbv - série normal, dn 75 mm (3"), inclusive conexões</t>
  </si>
  <si>
    <t xml:space="preserve">C4068 </t>
  </si>
  <si>
    <t>Impermeabilização de alicerce com tinta betuminosa em parede de 1 1/2 tijolo</t>
  </si>
  <si>
    <t>Chapisco c/ argamassa de cimento e areia s/peneirar traço 1:3 esp.= 5mm p/ parede</t>
  </si>
  <si>
    <t>Impermeabilização de superfície com argamassa polimérica / membrana acrílica, 3 demãos</t>
  </si>
  <si>
    <t>ED-16660</t>
  </si>
  <si>
    <t xml:space="preserve">Verga e Contraverga moldada in loco em concretoVão  de  janelas  e janelas                         </t>
  </si>
  <si>
    <t>Laje pré-moldada, a revestir, inclusive capeamento e = 4  cm, sc = 100 kg/m2, l = 4,00 m</t>
  </si>
  <si>
    <t>COMP01</t>
  </si>
  <si>
    <t>BATENTE</t>
  </si>
  <si>
    <t>DOBRADIÇA</t>
  </si>
  <si>
    <t>FECHADUARA</t>
  </si>
  <si>
    <t>ALIZAR</t>
  </si>
  <si>
    <t>BARRA  PNE X2</t>
  </si>
  <si>
    <t>BARRA IMPACTO</t>
  </si>
  <si>
    <t>FOLHA</t>
  </si>
  <si>
    <t>VISOR</t>
  </si>
  <si>
    <t>COBERTURA  -METALICA</t>
  </si>
  <si>
    <t>7.5</t>
  </si>
  <si>
    <t>Eletroduto de pvc rígido roscável, dn 25 mm (1"), inclusive conexões, suportes e fixação</t>
  </si>
  <si>
    <t>14.3</t>
  </si>
  <si>
    <t>Bancada em granito cinza andorinha - espessura 2cm, conforme projeto</t>
  </si>
  <si>
    <t xml:space="preserve"> Aplicação manual de pintura com tinta látex acrílica em teto, duas demãos  </t>
  </si>
  <si>
    <t>CREA</t>
  </si>
  <si>
    <t>Financeiro</t>
  </si>
  <si>
    <t>Físico %</t>
  </si>
  <si>
    <t>TOTAL</t>
  </si>
  <si>
    <t>MÊS 5</t>
  </si>
  <si>
    <t>MÊS 4</t>
  </si>
  <si>
    <t>MÊS 3</t>
  </si>
  <si>
    <t>MÊS 2</t>
  </si>
  <si>
    <t>MÊS 1</t>
  </si>
  <si>
    <t>TOTAL  ETAPAS</t>
  </si>
  <si>
    <t>FÍSICO/ FINANCEIRO</t>
  </si>
  <si>
    <t>ETAPAS/DESCRIÇÃO</t>
  </si>
  <si>
    <t>CÓDIGO</t>
  </si>
  <si>
    <t>VALOR DO CONVÊNIO:</t>
  </si>
  <si>
    <t>CRONOGRAMA FÍSICO-FINANCEIRO</t>
  </si>
  <si>
    <t>Fornecimento e instalação de vidro liso 4 mm</t>
  </si>
  <si>
    <t>SECRETARIA  DE EDUCAÇÃO</t>
  </si>
  <si>
    <t>Observações: Os Serviços não conteplados em planilhas serão passivo de aditivo.</t>
  </si>
  <si>
    <t>SÉRGIO RENATO SILVA DE SÁ</t>
  </si>
  <si>
    <t>108.066/D</t>
  </si>
  <si>
    <t>SECRETARIA DE EDUCAÇÃO</t>
  </si>
  <si>
    <t>Lontra- MG</t>
  </si>
  <si>
    <t>1.11</t>
  </si>
  <si>
    <t>1.12</t>
  </si>
  <si>
    <t>1.13</t>
  </si>
  <si>
    <t>1.14</t>
  </si>
  <si>
    <t xml:space="preserve">Alvenaria de tijolo cerâmico furado (14x19x19) cm c/ argamassa mista de cal hidratada esp.=14cm (1:2:8) </t>
  </si>
  <si>
    <t>6.10</t>
  </si>
  <si>
    <t>6.11</t>
  </si>
  <si>
    <t>6.2.0</t>
  </si>
  <si>
    <t>6.21</t>
  </si>
  <si>
    <t>1.15</t>
  </si>
  <si>
    <t>11.4</t>
  </si>
  <si>
    <t>11.5</t>
  </si>
  <si>
    <t xml:space="preserve">Emassamento de tetos externas 2 demãos c/massa acrílica </t>
  </si>
  <si>
    <t xml:space="preserve">Pintura esmalte </t>
  </si>
  <si>
    <t>12.7</t>
  </si>
  <si>
    <t>5.1.2</t>
  </si>
  <si>
    <t>Subtotal item 16.0</t>
  </si>
  <si>
    <t>SUPERESTRUTURA</t>
  </si>
  <si>
    <t xml:space="preserve">INFRA-ESTRUTURA: FUNDAÇÕES  </t>
  </si>
  <si>
    <t>Rua Ceará/n -Bairro Flores</t>
  </si>
  <si>
    <t xml:space="preserve">INFRA-ESTRUTURA: FUNDAÇÕES </t>
  </si>
  <si>
    <t xml:space="preserve">Cobogo </t>
  </si>
  <si>
    <t>D-48208</t>
  </si>
  <si>
    <t>PORTAS DE MADEIRA</t>
  </si>
  <si>
    <t>Comp-01</t>
  </si>
  <si>
    <t>Composição</t>
  </si>
  <si>
    <t>Kit de porta de madeira para pintura, semi-oca (leve ou média), padrão  médio, 80x210cm, espessura de 3,5cm, itens inclusos: dobradiças, mont agem e instalação do batente, fechadura com execução do furo - fornecimento e instalação -(01 folha - de abrir com barra metálica e visor)</t>
  </si>
  <si>
    <t>Janela de aço tipo basculante para vidros, com batente, ferragens e pintura anticorrosiva. Exclusive vidros, acabamento, alizar e contramarco. Fornecimento e instalação  EF 17 A  60 x 60</t>
  </si>
  <si>
    <t>Trama de aço composta por ripas , caibros e treças para telhado de até  2 águas para telhas de encaixe de cerâmica</t>
  </si>
  <si>
    <t xml:space="preserve">Telha cerâmica </t>
  </si>
  <si>
    <t>Cumeeira telha cerâmica, emboçada</t>
  </si>
  <si>
    <t xml:space="preserve">Cerâmica esmaltada c/ arg. Cimento e areia até 20x20cm (900 cm²) - pei-5/pei-4 p/ parede </t>
  </si>
  <si>
    <t xml:space="preserve">ED-50616 </t>
  </si>
  <si>
    <t>Piso em granilite/marmorite, esp. 8mm, acabamento lavado tipo fulget, cor natural, modulação de 1x1m, incluso junta plástica</t>
  </si>
  <si>
    <t>ED-50617</t>
  </si>
  <si>
    <t>Limpeza e polimento de piso granilite/marmorite, exclusive resina</t>
  </si>
  <si>
    <t xml:space="preserve">Roda meia de madeira </t>
  </si>
  <si>
    <t>ED-50876</t>
  </si>
  <si>
    <t xml:space="preserve">Emassamento de paredes externas e interno 2 demãos c/massa acrílica </t>
  </si>
  <si>
    <t xml:space="preserve">ED-48184 </t>
  </si>
  <si>
    <t>ED-48180</t>
  </si>
  <si>
    <t>Pingadeira de concreto</t>
  </si>
  <si>
    <t>ED-48332</t>
  </si>
  <si>
    <t>AMPLIAÇÃO (  DUAS SALAS   ) DA ESCOLA MUNICIPALCEMEI - SONHO ENCANTADO</t>
  </si>
  <si>
    <t>LOCAL: Rua Ceará/n -Bairro Flores</t>
  </si>
  <si>
    <t>6.24</t>
  </si>
  <si>
    <t>AMPLIAÇÃO (  DUAS SALAS   ) DA ESCOLA MUNICIPALCEMEI - SONHO ENCANTADO - LIGAÇÃO DE REDE DE ESGOSTO</t>
  </si>
  <si>
    <t xml:space="preserve">JUSTIFICATIVA DE ADITIVO DE ITEM E ALTERAÇÃO DE PROJETO </t>
  </si>
  <si>
    <t>Em vistoria, foi constatada a necessidade de execução de serviços não previstos em projeto, onde sistema de esgostamento era por fossa septica e o sistema atual será esgotamento na   rede de esgosto  da coposa.</t>
  </si>
  <si>
    <t>ADITIVO -02/2022</t>
  </si>
  <si>
    <t>Em vistoria, foi constatada a necessidade de execução de serviços não previstos em projeto,escaninhos das salas de aulas ,Piso cimentado áre de circulação externa  e limpeza da obras ambas não foram planilhada no projeto inicial.</t>
  </si>
  <si>
    <t>Concretagem de vigas e lajes, fck=25mpa, para lajes premoldadas com  so de bomba em edificação com área média de lajes maior que 20 m² - lançamento, adensamento e acabamento</t>
  </si>
  <si>
    <t>ED-50247</t>
  </si>
  <si>
    <t>4.4.2</t>
  </si>
  <si>
    <t>4.4.3</t>
  </si>
  <si>
    <t>ED-19637</t>
  </si>
  <si>
    <t>CIMBRAMENTO PARA LAJE PRÉ-MOLDADA COM ESCORAMENTO METÁLICO, TIPO "A", ALTURA DE (200 ATÉ 310)CM, INCLUSIVE DESCARGA, MONTAGEM, DESMONTAGEM E CARGA</t>
  </si>
  <si>
    <t xml:space="preserve">ED-29582 </t>
  </si>
  <si>
    <t>ARMADURA DE TELA DE AÇO CA-60, SOLDADA TIPO Q-138,
DIÂMETRO Ø4,2MM, TRAMA COM DIMENSÃO (100X100)MM,
INCLUSIVE ESPAÇADOR, EXCLUSIVE CONCRETO</t>
  </si>
  <si>
    <t>7.6</t>
  </si>
  <si>
    <t>INSTALAÇÃO DE TESOURA (INTEIRA OU MEIA), EM AÇO, PARA VÃOS MAIORES OU IGUAIS A 10,0 M E MENORES QUE 12,0 M, INCLUSO IÇAMENTO. AF_07/2019</t>
  </si>
  <si>
    <t>setop</t>
  </si>
  <si>
    <t xml:space="preserve">ED-50728 </t>
  </si>
  <si>
    <t xml:space="preserve">ED-50727 </t>
  </si>
  <si>
    <t>SETOP</t>
  </si>
  <si>
    <t>ED-50761</t>
  </si>
  <si>
    <t>ED-50717</t>
  </si>
  <si>
    <t>ED-13292</t>
  </si>
  <si>
    <t xml:space="preserve">
CAMADA DE REGULARIZAÇÃO COM ARGAMASSA, TRAÇO 1:4 (
CIMENTO E AREIA), ESP. 30MM, APLICAÇÃO MANUAL, PREPARO
MECÂNICO
</t>
  </si>
  <si>
    <t>ED-49505</t>
  </si>
  <si>
    <t xml:space="preserve"> QUADRO DE DISTRIBUIÇÃO DE LUZ EM PVC DE EMBUTIR, ATÉ 8
DIVISÕES MODULARES, DIMENSÕES EXTERNAS 160 X 240 X 89
MM</t>
  </si>
  <si>
    <t>ED-49273</t>
  </si>
  <si>
    <t>DISJUNTOR BIPOLAR TERMOMAGNÉTICO 5KA, DE 30A</t>
  </si>
  <si>
    <t>12.8</t>
  </si>
  <si>
    <t>12.9</t>
  </si>
  <si>
    <t>ED-49277</t>
  </si>
  <si>
    <t>DISJUNTOR BIPOLAR TERMOMAGNÉTICO 5KA, DE 50A</t>
  </si>
  <si>
    <t>12.10</t>
  </si>
  <si>
    <t>Luminária de alumínio para quadra poliesportiva, refletor 17" com gradil aramado e base E40 para lâmpada de luz mista 500W; fornecimento e instalação</t>
  </si>
  <si>
    <t>Eletroduto de aço galvanizado Ø 32mm, fornecimento e instalação</t>
  </si>
  <si>
    <t>Luva de ferro galvanizado 1", fornecimento e instalação</t>
  </si>
  <si>
    <t>Luva de ferro galvanizado 1½", fornecimento e instalação</t>
  </si>
  <si>
    <t>Condulete ¾” em liga de alumínio fundido tipo LL, fornecimento e instalação</t>
  </si>
  <si>
    <t>Condulete ¾” em liga de alumínio fundido tipo TA, fornecimento e instalação</t>
  </si>
  <si>
    <t>Condulete ¾” em liga de alumínio fundido tipo XA, fornecimento e instalação</t>
  </si>
  <si>
    <t>Abraçadeira metálica tipo D de ¾", fornecimento e instalação</t>
  </si>
  <si>
    <t>Abraçadeira metálica tipo D de 1", fornecimento e instalação</t>
  </si>
  <si>
    <t>ED-51012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</si>
  <si>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</si>
  <si>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</si>
  <si>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</si>
  <si>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</si>
  <si>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</si>
  <si>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</si>
  <si>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</si>
  <si>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</si>
  <si>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</si>
  <si>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MERC</t>
  </si>
  <si>
    <t>ED-49319</t>
  </si>
  <si>
    <t>ED-50022</t>
  </si>
  <si>
    <t>FORNECIMENTO E ASSENTAMENTO DE TUBO PVC RÍGIDO
SOLDÁVEL, ÁGUA FRIA, DN 50 MM (1.1/2"), INCLUSIVE CONEXÕES</t>
  </si>
  <si>
    <t>ED-49995</t>
  </si>
  <si>
    <t>REGISTRO DE GAVETA, TIPO BASE, ROSCÁVEL 1.1/2" (PARA TUBO
SOLDÁVEL OU PPR DN 50MM/CPVC DN 42MM), INCLUSIVE
ACABAMENTO (PADRÃO MÉDIO) E CANOPLA CROMADOS</t>
  </si>
  <si>
    <t>FORNECIMENTO E ASSENTAMENTO DE TUBO PVC RÍGIDO
SOLDÁVEL, ÁGUA FRIA, DN 25 MM (3/4") , INCLUSIVE CONEXÕES</t>
  </si>
  <si>
    <t>ED-49989</t>
  </si>
  <si>
    <t>REGISTRO DE GAVETA, TIPO BASE, ROSCÁVEL 3/4" (PARA TUBO
SOLDÁVEL OU PPR DN 25MM/CPVC DN 22MM), INCLUSIVE
ACABAMENTO (PADRÃO MÉDIO) E CANOPLA CROMAD</t>
  </si>
  <si>
    <t>ED-50313</t>
  </si>
  <si>
    <t>CHUVEIRO ELÉTRICO CROMADO, TENSÃO 127V/220V, POTÊNCIA
5500W/6800W, INCLUSIVE BRAÇO, FORNECIMENTO E INSTALAÇÃO</t>
  </si>
  <si>
    <t>ED-50225</t>
  </si>
  <si>
    <t>PONTO DE EMBUTIR PARA ESGOTO EM TUBO PVC RÍGIDO, PBV -
SÉRIE NORMAL, DN 100MM (4"), EMBUTIDO EM PISO COM
DISTÂNCIA DE ATÉ CINCO (5) METROS DA RAMAL DE ESGOTO,
INCLUSIVE CONEXÕES E FIXAÇÃO DO TUBO COM ENCHIMENTO
DO RASGO NO CONCRETO COM ARGAMASSA</t>
  </si>
  <si>
    <t>ED-50222</t>
  </si>
  <si>
    <t>PONTO DE EMBUTIR PARA ÁGUA FRIA EM TUBO PVC RÍGIDO
ROSCÁVEL, DN 1/2" (20MM), EMBUTIDO NA ALVENARIA COM
DISTÂNCIA DE ATÉ CINCO (5) METROS DA TOMADA DE ÁGUA,
INCLUSIVE CONEXÕES E FIXAÇÃO DO TUBO COM ENCHIMENTO
DO RASGO NA ALVENARIA/CONCRETO COM ARGAMASSA</t>
  </si>
  <si>
    <t>ED-50337</t>
  </si>
  <si>
    <t>VÁLVULA DE DESCARGA COM REGISTRO INTERNO,
ACIONAMENTO SIMPLES, DN 1.1/2" (50MM), INCLUSIVE
ACABAMENTO DA VÁLVULA</t>
  </si>
  <si>
    <t>ED-49965</t>
  </si>
  <si>
    <t>REGISTRO DE PRESSÃO, TIPO BASE, ROSCÁVEL 3/4" (PARA TUBO
SOLDÁVEL OU PPR DN 25MM/CPVC DN 22MM), INCLUSIVE
ACABAMENTO (PADRÃO MÉDIO) E CANOPLA CROMADOS</t>
  </si>
  <si>
    <t>13.6</t>
  </si>
  <si>
    <t>13.7</t>
  </si>
  <si>
    <t>13.8</t>
  </si>
  <si>
    <t>ED-49936</t>
  </si>
  <si>
    <t>CAIXA D´ÁGUA DE POLIETILENO, CAPACIDADE DE 1.000L,
INCLUSIVE TAMPA, TORNEIRA DE BOIA, EXTRAVASOR, TUBO DE
LIMPEZA E ACESSÓRIOS, EXCLUSIVE TUBULAÇÃO DE ENTRADA/
SAÍDA DE ÁGUA</t>
  </si>
  <si>
    <t>13.9</t>
  </si>
  <si>
    <t>ED-48669</t>
  </si>
  <si>
    <t>FORNECIMENTO E ASSENTAMENTO DE TUBO PVC RÍGIDO,
DRENAGEM/PLUVIAL, PBV - SÉRIE NORMAL, DN 100 MM (4"),
INCLUSIVE CONEXÕES</t>
  </si>
  <si>
    <t>7.7</t>
  </si>
  <si>
    <t>13.10</t>
  </si>
  <si>
    <t>ED-9135</t>
  </si>
  <si>
    <t>TUBO DE LIGAÇÃO PARA VASO SANITÁRIO</t>
  </si>
  <si>
    <t>ED-50105</t>
  </si>
  <si>
    <t>FORNECIMENTO E ASSENTAMENTO DE TUBO PVC RÍGIDO,
COLETOR DE ESGOTO LISO (JEI), DN 100 MM (4"), INCLUSIVE
CONEXÕES</t>
  </si>
  <si>
    <t>ED-50036</t>
  </si>
  <si>
    <t>FORNECIMENTO E ASSENTAMENTO DE TUBO PVC RÍGIDO,
ESGOTO, PBV - SÉRIE REFORÇADO, DN 50 MM (2"), INCLUSIVE
CONEXÕES</t>
  </si>
  <si>
    <t>ED-50009</t>
  </si>
  <si>
    <t>CAIXA SIFONADA EM PVC COM GRELHA QUADRADA/REDONDA
150 X 185 X 75 MM</t>
  </si>
  <si>
    <t>ED-49958</t>
  </si>
  <si>
    <t>RALO SECO PVC CÔNICO 100 X 40 MM COM GRELHA REDONDA</t>
  </si>
  <si>
    <t>ED-50224</t>
  </si>
  <si>
    <t>PONTO DE EMBUTIR PARA ESGOTO EM TUBO PVC RÍGIDO, PBV -
SÉRIE NORMAL, DN 50MM (2"), EMBUTIDO EM PISO COM
DISTÂNCIA DE ATÉ CINCO (5) METROS DA RAMAL DE ESGOTO,
EXCLUSIVE ESCAVAÇÃO, INCLUSIVE CONEXÕES E FIXAÇÃO DO
TUBO COM ENCHIMENTO DO RASGO NO CONCRETO COM
ARGAMASSA</t>
  </si>
  <si>
    <t>ED-50299</t>
  </si>
  <si>
    <t>BACIA SANITÁRIA (VASO) DE LOUÇA CONVENCIONAL INFANTIL,
COR BRANCA, INCLUSIVE ACESSÓRIOS DE FIXAÇÃO/VEDAÇÃO,
VÁLVULA DE DESCARGA METÁLICA COM ACIONAMENTO DUPLO,
TUBO DE LIGAÇÃO DE LATÃO COM CANOPLA, FORNECIMENTO,
INSTALAÇÃO E REJUNTAMENTO</t>
  </si>
  <si>
    <t>ED-49170</t>
  </si>
  <si>
    <t>CAIXA DE PASSAGEM EM ALVENARIA E TAMPA DE CONCRETO,
FUNDO DE BRITA, TIPO 1, 50 X 50 X 60 CM, INCLUSIVE
ESCAVAÇÃO, REATERRO E BOTA-FORA</t>
  </si>
  <si>
    <t>ED-51144</t>
  </si>
  <si>
    <t>10.6</t>
  </si>
  <si>
    <t>PASSEIOS DE CONCRETO E = 8 CM, FCK = 15 MPA PADRÃO
PREFEITURA</t>
  </si>
  <si>
    <t>ED-14740</t>
  </si>
  <si>
    <t>CANALETA PARA DRENAGEM, EM CONCRETO COM FCK 15MPA,
MOLDADA IN LOCO, SEÇÃO 15X15CM, FORMA EM MADEIRA,
EXCLUSIVE TAMPA, INCLUSIVE ESCAVAÇÃO, REATERRO COM
TRANSPORTE E RETIRADA DO MATERIAL ESCAVADO (EM
CAÇAMBA)</t>
  </si>
  <si>
    <t>ED-48334</t>
  </si>
  <si>
    <t>TAMPA EM CONCRETO COM FCK 15MPA, MOLDADA IN LOCO,
PARA CANALETA COM LARGURA 30CM, ESP. 8CM, INCLUSIVE
ARMAÇÃO CA-50 DIÂMETRO (6,3MM)</t>
  </si>
  <si>
    <t>14.4</t>
  </si>
  <si>
    <t>14.5</t>
  </si>
  <si>
    <t>14.6</t>
  </si>
  <si>
    <t>14.7</t>
  </si>
  <si>
    <t>14.8</t>
  </si>
  <si>
    <t>14.9</t>
  </si>
  <si>
    <t>14.10</t>
  </si>
  <si>
    <t>ED-48183</t>
  </si>
  <si>
    <t>PAPELEIRA PLASTICA TIPO DISPENSER PARA PAPEL HIGIENICO
ROLAO</t>
  </si>
  <si>
    <t>SABONETEIRA EM AÇO INOX TIPO DISPENSER PARA SABONETE
LIQUIDO COM RESERVATORIO 800 ML</t>
  </si>
  <si>
    <t>DISPENSER EM AÇO INOX PARA PAPEL TOALHA 2 OU 3 FOLHAS</t>
  </si>
  <si>
    <t>15.1</t>
  </si>
  <si>
    <t>15.2</t>
  </si>
  <si>
    <t>15.3</t>
  </si>
  <si>
    <t>ED-21657</t>
  </si>
  <si>
    <t>BANCADA EM GRANITO, COR CINZA ANDORINHA, ESP. 2CM,
ACABAMENTO POLIDO, APOIADA EM ALVENARIA, EXCLUSIVE
ALVENARIA, RODABANCA/FRONTÃO, TESTEIRA/FAIXA, FURO EM
BANCADA, CUBA METÁLICA, VÁLVULA, SIFÃO, TORNEIRA E
ENGATE FLEXÍVEL</t>
  </si>
  <si>
    <t>ED-48533</t>
  </si>
  <si>
    <t>DIVISÓRIA EM GRANITO CINZA ANDORINHA E = 3 CM, INCLUSIVE
FERRAGENS EM LATÃO CROMADO</t>
  </si>
  <si>
    <t>DIVISORIA / BANCADAS /LIMPEZA DE OBRA</t>
  </si>
  <si>
    <t>ED-50266</t>
  </si>
  <si>
    <t>LIMPEZA FINAL PARA ENTREGA DA OBRA</t>
  </si>
  <si>
    <t>16.2</t>
  </si>
  <si>
    <t>16.3</t>
  </si>
  <si>
    <t>AMPLIAÇÃO ( DOIS BANHEIRO PARA FRALDARIO/ COBERTURA DO PLAYGRAUD/COBERTURA DE GUARITA   ) DA ESCOLA MUNICIPALCEMEI - SONHO ENCANTADO</t>
  </si>
  <si>
    <t>Grama Sintética 42 mm fibilada</t>
  </si>
  <si>
    <t>merc</t>
  </si>
  <si>
    <t>13.11</t>
  </si>
  <si>
    <t>ED-50330</t>
  </si>
  <si>
    <t>TORNEIRA METÁLICA PARA LAVATÓRIO, ABERTURA 1/4 DE VOLTA,
ACABAMENTO CROMADO, COM AREJADOR, APLICAÇÃO DE MESA
, INCLUSIVE ENGATE FLEXÍVEL METÁLICO, FORNECIMENTO E
INSTALAÇÃO</t>
  </si>
  <si>
    <t>REFERÊNCIA  SETOP NORTE  JANEIRO/2023/SINAPI 02/2023</t>
  </si>
  <si>
    <t>OBRA: AMPLIAÇÃO ( DOIS BANHEIRO PARA FRALDARIO/ COBERTURA DO PLAYGRAUD/COBERTURA DE GUARITA   ) DA ESCOLA MUNICIPALCEMEI - SONHO ENCANTADO</t>
  </si>
  <si>
    <t>DATA:27/03/2023</t>
  </si>
  <si>
    <t>PRAZO DA OBRA: 4 MÊS</t>
  </si>
  <si>
    <t>Planilha de cálculo</t>
  </si>
  <si>
    <t>formúlas</t>
  </si>
  <si>
    <t>3*1,15</t>
  </si>
  <si>
    <t>12,15*3,15+2*2+10*10</t>
  </si>
  <si>
    <t>(12,15*3,15+2*2+10*10)*0,25</t>
  </si>
  <si>
    <t>4*0,6*0,6*0,6+10*0,8*0,8*0,8+10*0,6*0,6*0,6</t>
  </si>
  <si>
    <t>4*0,6*0,6+10*0,8*0,8+10*0,6*0,6</t>
  </si>
  <si>
    <t>4*0,6*0,6*0,6+10*0,6*0,6*0,6+10*0,8*0,8*0,6</t>
  </si>
  <si>
    <t>81,3*0,2</t>
  </si>
  <si>
    <t>81,3*0,2*0,15</t>
  </si>
  <si>
    <t>10*5*0,2*0,2+14*3*0,14*0,3</t>
  </si>
  <si>
    <t>37,3*0,3*0,14</t>
  </si>
  <si>
    <t>1,2+1,2</t>
  </si>
  <si>
    <t>2*2+13,15*5,15</t>
  </si>
  <si>
    <t>37,3*4,2</t>
  </si>
  <si>
    <t>3,35*1,1</t>
  </si>
  <si>
    <t>4*1,8*0,6</t>
  </si>
  <si>
    <t>2*2+13,15*5,15+10*10*1,08+5*3*1,08</t>
  </si>
  <si>
    <t>12,15+10+2+5</t>
  </si>
  <si>
    <t>12,15+12,15+3,15+3,15+4</t>
  </si>
  <si>
    <t>4*3,8+10*5,6</t>
  </si>
  <si>
    <t>20+12,15+12,5+10</t>
  </si>
  <si>
    <t>37,3*0,2+37,15*0,14+20*0,2*2+20*0,14</t>
  </si>
  <si>
    <t>12,15*0,6*2</t>
  </si>
  <si>
    <t>37,3*4,2*2</t>
  </si>
  <si>
    <t>12,15+12,15+9+6</t>
  </si>
  <si>
    <t>(12,15+12,15+3,15)*1,2+(12,15+12,15+9)*1,2</t>
  </si>
  <si>
    <t>10*10+12,15*3,15</t>
  </si>
  <si>
    <t>10*10</t>
  </si>
  <si>
    <t>12,15*3,15</t>
  </si>
  <si>
    <t>(12,15+12,15+3,15+3,15)*1,4</t>
  </si>
  <si>
    <t>60,32*1,9+60,32*3</t>
  </si>
  <si>
    <t>2,1*2*2+10*10</t>
  </si>
  <si>
    <t>4*0,68*1,8</t>
  </si>
  <si>
    <t>Planilha de Detalhamento do BDI</t>
  </si>
  <si>
    <t>Tomador</t>
  </si>
  <si>
    <t>PREFEITURA MUNICIPAL DE LONTRA</t>
  </si>
  <si>
    <t>Nº do Contrato de Repasse</t>
  </si>
  <si>
    <t>Nome da Obra</t>
  </si>
  <si>
    <t>Município da Obra</t>
  </si>
  <si>
    <t>LONTRA</t>
  </si>
  <si>
    <t>Tipo de Obra</t>
  </si>
  <si>
    <t>Contribuição Previdenciária</t>
  </si>
  <si>
    <t>Conforme legislação tributária municipal, definir estimativa de percentual da base de cálculo para o ISS:</t>
  </si>
  <si>
    <t>Sobre a base de cálculo, definir a respectiva alíquota do ISS (entre 2% e 5%):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</si>
  <si>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</si>
  <si>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</si>
  <si>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</si>
  <si>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</si>
  <si>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</si>
  <si>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</si>
  <si>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r>
      <t xml:space="preserve">(AC) - </t>
    </r>
    <r>
      <rPr>
        <sz val="9"/>
        <rFont val="Arial"/>
        <family val="2"/>
      </rPr>
      <t>Administração Central</t>
    </r>
  </si>
  <si>
    <r>
      <t xml:space="preserve">(S) + (G) - </t>
    </r>
    <r>
      <rPr>
        <sz val="9"/>
        <rFont val="Arial"/>
        <family val="2"/>
      </rPr>
      <t>Seguro e Garantia</t>
    </r>
  </si>
  <si>
    <r>
      <t xml:space="preserve">(R) - </t>
    </r>
    <r>
      <rPr>
        <sz val="9"/>
        <rFont val="Arial"/>
        <family val="2"/>
      </rPr>
      <t>Risco</t>
    </r>
  </si>
  <si>
    <r>
      <t xml:space="preserve">(DF) - </t>
    </r>
    <r>
      <rPr>
        <sz val="9"/>
        <rFont val="Arial"/>
        <family val="2"/>
      </rPr>
      <t>Despesas Financeiras</t>
    </r>
  </si>
  <si>
    <r>
      <t xml:space="preserve">(L) - </t>
    </r>
    <r>
      <rPr>
        <sz val="9"/>
        <rFont val="Arial"/>
        <family val="2"/>
      </rPr>
      <t>Lucro</t>
    </r>
  </si>
  <si>
    <r>
      <t>(I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PIS</t>
    </r>
  </si>
  <si>
    <r>
      <t>(I</t>
    </r>
    <r>
      <rPr>
        <b/>
        <sz val="5"/>
        <rFont val="Arial"/>
        <family val="2"/>
      </rPr>
      <t>2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COFINS</t>
    </r>
  </si>
  <si>
    <r>
      <t>(I</t>
    </r>
    <r>
      <rPr>
        <b/>
        <sz val="5"/>
        <rFont val="Arial"/>
        <family val="2"/>
      </rPr>
      <t>3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ISS</t>
    </r>
  </si>
  <si>
    <r>
      <t>(I</t>
    </r>
    <r>
      <rPr>
        <b/>
        <sz val="5"/>
        <rFont val="Arial"/>
        <family val="2"/>
      </rPr>
      <t>4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Contrib. Previdenciária</t>
    </r>
  </si>
  <si>
    <t>BDI Adotado</t>
  </si>
  <si>
    <t>Valor para simples conferência do enquadramento do BDI nos limites estabelecidos pelo Acórdão TCU 2622/2013</t>
  </si>
  <si>
    <t>Limites do valor do BDI para obras do tipo acima selecionado.
Acórdão TCU 2622/2013</t>
  </si>
  <si>
    <r>
      <t>BDI desconsiderando a parcela 
(I</t>
    </r>
    <r>
      <rPr>
        <sz val="6"/>
        <rFont val="Arial"/>
        <family val="2"/>
      </rPr>
      <t>4</t>
    </r>
    <r>
      <rPr>
        <sz val="8"/>
        <rFont val="Arial"/>
        <family val="2"/>
      </rPr>
      <t>) contribuição previdenciária</t>
    </r>
  </si>
  <si>
    <t>DECLARAÇÕES</t>
  </si>
  <si>
    <t>Observações:</t>
  </si>
  <si>
    <t>Assinatura do Responsável Técnico pelo orçamento</t>
  </si>
  <si>
    <t>Nº ART ou RRT do orçamento</t>
  </si>
  <si>
    <t>ENG° SÉRGIO RENATO SILVA DE SÁ</t>
  </si>
  <si>
    <t>CREA MG 108.0066/D</t>
  </si>
  <si>
    <t>Título, Nome e CREA/CAU do Responsável Técnico pelo orçamento</t>
  </si>
  <si>
    <t>Data</t>
  </si>
  <si>
    <t>Assinatura do Responsável Tomador</t>
  </si>
  <si>
    <t xml:space="preserve"> Cargo e Nome</t>
  </si>
  <si>
    <t>Ampliação  Proinfância - Tipo  B</t>
  </si>
  <si>
    <t>ARQUITETO E URBANISTA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</si>
</sst>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"/>
    <numFmt numFmtId="178" formatCode="&quot;R$ &quot;#,##0.00"/>
    <numFmt numFmtId="179" formatCode="0.0000"/>
    <numFmt numFmtId="180" formatCode="0.00000"/>
    <numFmt numFmtId="181" formatCode="#,##0.00_ ;\-#,##0.00\ "/>
    <numFmt numFmtId="182" formatCode="#,##0.000"/>
    <numFmt numFmtId="183" formatCode="#,##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 style="thin"/>
      <bottom style="thin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/>
    </xf>
    <xf numFmtId="49" fontId="2" fillId="33" borderId="10" xfId="0" applyNumberFormat="1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justify"/>
    </xf>
    <xf numFmtId="0" fontId="2" fillId="0" borderId="16" xfId="0" applyFont="1" applyBorder="1" applyAlignment="1">
      <alignment horizontal="left" vertical="justify"/>
    </xf>
    <xf numFmtId="0" fontId="2" fillId="33" borderId="17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 wrapText="1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 wrapText="1"/>
    </xf>
    <xf numFmtId="0" fontId="59" fillId="0" borderId="0" xfId="0" applyFont="1" applyFill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59" fillId="0" borderId="0" xfId="0" applyFont="1" applyFill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justify"/>
    </xf>
    <xf numFmtId="2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justify"/>
    </xf>
    <xf numFmtId="0" fontId="0" fillId="0" borderId="0" xfId="0" applyFont="1" applyAlignment="1">
      <alignment horizontal="left" vertical="justify" wrapText="1"/>
    </xf>
    <xf numFmtId="0" fontId="0" fillId="0" borderId="24" xfId="0" applyFont="1" applyBorder="1" applyAlignment="1">
      <alignment vertical="center" wrapText="1"/>
    </xf>
    <xf numFmtId="0" fontId="0" fillId="34" borderId="19" xfId="0" applyFont="1" applyFill="1" applyBorder="1" applyAlignment="1">
      <alignment horizontal="center"/>
    </xf>
    <xf numFmtId="0" fontId="2" fillId="0" borderId="24" xfId="0" applyFont="1" applyBorder="1" applyAlignment="1">
      <alignment horizontal="left" vertical="justify"/>
    </xf>
    <xf numFmtId="0" fontId="0" fillId="35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10" xfId="50" applyBorder="1" applyAlignment="1">
      <alignment horizontal="left" vertical="center" wrapText="1"/>
      <protection/>
    </xf>
    <xf numFmtId="171" fontId="0" fillId="0" borderId="10" xfId="64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6" fillId="36" borderId="14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0" borderId="25" xfId="0" applyBorder="1" applyAlignment="1">
      <alignment vertical="center"/>
    </xf>
    <xf numFmtId="0" fontId="2" fillId="36" borderId="14" xfId="0" applyFont="1" applyFill="1" applyBorder="1" applyAlignment="1">
      <alignment wrapText="1"/>
    </xf>
    <xf numFmtId="0" fontId="2" fillId="36" borderId="26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0" fillId="36" borderId="0" xfId="0" applyFill="1" applyAlignment="1">
      <alignment vertical="center"/>
    </xf>
    <xf numFmtId="0" fontId="0" fillId="36" borderId="0" xfId="0" applyFill="1" applyAlignment="1">
      <alignment vertical="center" wrapText="1"/>
    </xf>
    <xf numFmtId="178" fontId="8" fillId="36" borderId="27" xfId="0" applyNumberFormat="1" applyFont="1" applyFill="1" applyBorder="1" applyAlignment="1">
      <alignment vertical="top" wrapText="1"/>
    </xf>
    <xf numFmtId="49" fontId="8" fillId="36" borderId="27" xfId="0" applyNumberFormat="1" applyFont="1" applyFill="1" applyBorder="1" applyAlignment="1">
      <alignment horizontal="center" vertical="top" wrapText="1"/>
    </xf>
    <xf numFmtId="10" fontId="8" fillId="36" borderId="28" xfId="0" applyNumberFormat="1" applyFont="1" applyFill="1" applyBorder="1" applyAlignment="1">
      <alignment vertical="top" wrapText="1"/>
    </xf>
    <xf numFmtId="49" fontId="8" fillId="36" borderId="28" xfId="0" applyNumberFormat="1" applyFont="1" applyFill="1" applyBorder="1" applyAlignment="1">
      <alignment horizontal="center" vertical="top" wrapText="1"/>
    </xf>
    <xf numFmtId="4" fontId="9" fillId="36" borderId="29" xfId="0" applyNumberFormat="1" applyFont="1" applyFill="1" applyBorder="1" applyAlignment="1">
      <alignment vertical="top" wrapText="1"/>
    </xf>
    <xf numFmtId="10" fontId="6" fillId="36" borderId="30" xfId="0" applyNumberFormat="1" applyFont="1" applyFill="1" applyBorder="1" applyAlignment="1">
      <alignment vertical="top" wrapText="1"/>
    </xf>
    <xf numFmtId="10" fontId="6" fillId="36" borderId="30" xfId="65" applyNumberFormat="1" applyFont="1" applyFill="1" applyBorder="1" applyAlignment="1">
      <alignment vertical="top" wrapText="1"/>
    </xf>
    <xf numFmtId="10" fontId="9" fillId="36" borderId="30" xfId="0" applyNumberFormat="1" applyFont="1" applyFill="1" applyBorder="1" applyAlignment="1">
      <alignment vertical="top" wrapText="1"/>
    </xf>
    <xf numFmtId="49" fontId="9" fillId="36" borderId="29" xfId="0" applyNumberFormat="1" applyFont="1" applyFill="1" applyBorder="1" applyAlignment="1">
      <alignment horizontal="center" vertical="top" wrapText="1"/>
    </xf>
    <xf numFmtId="49" fontId="9" fillId="36" borderId="30" xfId="0" applyNumberFormat="1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wrapText="1"/>
    </xf>
    <xf numFmtId="4" fontId="0" fillId="36" borderId="0" xfId="0" applyNumberFormat="1" applyFill="1" applyAlignment="1">
      <alignment/>
    </xf>
    <xf numFmtId="178" fontId="0" fillId="36" borderId="0" xfId="0" applyNumberFormat="1" applyFill="1" applyAlignment="1">
      <alignment/>
    </xf>
    <xf numFmtId="10" fontId="0" fillId="36" borderId="0" xfId="0" applyNumberFormat="1" applyFill="1" applyAlignment="1">
      <alignment/>
    </xf>
    <xf numFmtId="0" fontId="2" fillId="36" borderId="33" xfId="0" applyFont="1" applyFill="1" applyBorder="1" applyAlignment="1">
      <alignment wrapText="1"/>
    </xf>
    <xf numFmtId="0" fontId="2" fillId="36" borderId="0" xfId="0" applyFont="1" applyFill="1" applyBorder="1" applyAlignment="1">
      <alignment wrapText="1"/>
    </xf>
    <xf numFmtId="0" fontId="0" fillId="0" borderId="34" xfId="0" applyBorder="1" applyAlignment="1">
      <alignment vertical="center"/>
    </xf>
    <xf numFmtId="0" fontId="0" fillId="36" borderId="0" xfId="0" applyFill="1" applyBorder="1" applyAlignment="1">
      <alignment wrapText="1"/>
    </xf>
    <xf numFmtId="0" fontId="3" fillId="0" borderId="34" xfId="0" applyFont="1" applyBorder="1" applyAlignment="1">
      <alignment vertical="center"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4" xfId="0" applyFill="1" applyBorder="1" applyAlignment="1">
      <alignment/>
    </xf>
    <xf numFmtId="0" fontId="7" fillId="36" borderId="0" xfId="0" applyFont="1" applyFill="1" applyBorder="1" applyAlignment="1">
      <alignment wrapText="1"/>
    </xf>
    <xf numFmtId="0" fontId="2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wrapText="1"/>
    </xf>
    <xf numFmtId="0" fontId="0" fillId="36" borderId="15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5" xfId="0" applyFill="1" applyBorder="1" applyAlignment="1">
      <alignment wrapText="1"/>
    </xf>
    <xf numFmtId="0" fontId="0" fillId="36" borderId="36" xfId="0" applyFill="1" applyBorder="1" applyAlignment="1">
      <alignment/>
    </xf>
    <xf numFmtId="0" fontId="2" fillId="36" borderId="25" xfId="0" applyFont="1" applyFill="1" applyBorder="1" applyAlignment="1">
      <alignment vertic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4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59" fillId="0" borderId="16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2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9" fillId="0" borderId="0" xfId="0" applyFont="1" applyAlignment="1">
      <alignment/>
    </xf>
    <xf numFmtId="0" fontId="2" fillId="0" borderId="35" xfId="0" applyFont="1" applyBorder="1" applyAlignment="1">
      <alignment horizontal="left"/>
    </xf>
    <xf numFmtId="10" fontId="2" fillId="0" borderId="36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wrapText="1"/>
    </xf>
    <xf numFmtId="0" fontId="0" fillId="0" borderId="16" xfId="0" applyFont="1" applyBorder="1" applyAlignment="1">
      <alignment horizontal="left" vertical="justify" wrapText="1"/>
    </xf>
    <xf numFmtId="0" fontId="0" fillId="0" borderId="10" xfId="50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0" fillId="0" borderId="0" xfId="51">
      <alignment/>
      <protection/>
    </xf>
    <xf numFmtId="0" fontId="0" fillId="37" borderId="37" xfId="51" applyFill="1" applyBorder="1" applyAlignment="1">
      <alignment horizontal="left"/>
      <protection/>
    </xf>
    <xf numFmtId="0" fontId="0" fillId="37" borderId="38" xfId="51" applyFill="1" applyBorder="1" applyAlignment="1">
      <alignment horizontal="left"/>
      <protection/>
    </xf>
    <xf numFmtId="0" fontId="0" fillId="0" borderId="38" xfId="51" applyBorder="1" applyAlignment="1">
      <alignment horizontal="left"/>
      <protection/>
    </xf>
    <xf numFmtId="0" fontId="0" fillId="0" borderId="39" xfId="51" applyBorder="1" applyAlignment="1">
      <alignment horizontal="left"/>
      <protection/>
    </xf>
    <xf numFmtId="0" fontId="0" fillId="37" borderId="40" xfId="51" applyFill="1" applyBorder="1" applyAlignment="1">
      <alignment horizontal="left"/>
      <protection/>
    </xf>
    <xf numFmtId="0" fontId="0" fillId="37" borderId="25" xfId="51" applyFill="1" applyBorder="1" applyAlignment="1">
      <alignment horizontal="left"/>
      <protection/>
    </xf>
    <xf numFmtId="0" fontId="0" fillId="0" borderId="25" xfId="51" applyBorder="1" applyAlignment="1">
      <alignment horizontal="left"/>
      <protection/>
    </xf>
    <xf numFmtId="0" fontId="0" fillId="0" borderId="23" xfId="51" applyBorder="1" applyAlignment="1">
      <alignment horizontal="left"/>
      <protection/>
    </xf>
    <xf numFmtId="0" fontId="13" fillId="0" borderId="0" xfId="51" applyFont="1">
      <alignment/>
      <protection/>
    </xf>
    <xf numFmtId="0" fontId="0" fillId="0" borderId="41" xfId="51" applyBorder="1">
      <alignment/>
      <protection/>
    </xf>
    <xf numFmtId="0" fontId="0" fillId="0" borderId="42" xfId="51" applyBorder="1">
      <alignment/>
      <protection/>
    </xf>
    <xf numFmtId="0" fontId="0" fillId="0" borderId="43" xfId="51" applyBorder="1">
      <alignment/>
      <protection/>
    </xf>
    <xf numFmtId="0" fontId="3" fillId="0" borderId="0" xfId="51" applyFont="1" applyAlignment="1">
      <alignment vertical="center" wrapText="1"/>
      <protection/>
    </xf>
    <xf numFmtId="43" fontId="14" fillId="0" borderId="0" xfId="66" applyFont="1" applyFill="1" applyBorder="1" applyAlignment="1" applyProtection="1">
      <alignment horizontal="center" vertical="center" wrapText="1"/>
      <protection/>
    </xf>
    <xf numFmtId="0" fontId="13" fillId="0" borderId="0" xfId="50" applyFont="1">
      <alignment/>
      <protection/>
    </xf>
    <xf numFmtId="0" fontId="0" fillId="0" borderId="0" xfId="50">
      <alignment/>
      <protection/>
    </xf>
    <xf numFmtId="0" fontId="0" fillId="37" borderId="37" xfId="50" applyFill="1" applyBorder="1" applyAlignment="1">
      <alignment horizontal="left"/>
      <protection/>
    </xf>
    <xf numFmtId="0" fontId="0" fillId="37" borderId="38" xfId="50" applyFill="1" applyBorder="1" applyAlignment="1">
      <alignment horizontal="left"/>
      <protection/>
    </xf>
    <xf numFmtId="0" fontId="0" fillId="0" borderId="38" xfId="50" applyBorder="1" applyAlignment="1">
      <alignment horizontal="left"/>
      <protection/>
    </xf>
    <xf numFmtId="0" fontId="0" fillId="0" borderId="39" xfId="50" applyBorder="1" applyAlignment="1">
      <alignment horizontal="left"/>
      <protection/>
    </xf>
    <xf numFmtId="0" fontId="0" fillId="37" borderId="40" xfId="50" applyFill="1" applyBorder="1" applyAlignment="1">
      <alignment horizontal="left"/>
      <protection/>
    </xf>
    <xf numFmtId="0" fontId="0" fillId="37" borderId="25" xfId="50" applyFill="1" applyBorder="1" applyAlignment="1">
      <alignment horizontal="left"/>
      <protection/>
    </xf>
    <xf numFmtId="0" fontId="0" fillId="0" borderId="25" xfId="50" applyBorder="1" applyAlignment="1">
      <alignment horizontal="left"/>
      <protection/>
    </xf>
    <xf numFmtId="0" fontId="0" fillId="0" borderId="23" xfId="50" applyBorder="1" applyAlignment="1">
      <alignment horizontal="left"/>
      <protection/>
    </xf>
    <xf numFmtId="0" fontId="20" fillId="0" borderId="0" xfId="50" applyFont="1">
      <alignment/>
      <protection/>
    </xf>
    <xf numFmtId="43" fontId="14" fillId="0" borderId="14" xfId="66" applyFont="1" applyFill="1" applyBorder="1" applyAlignment="1" applyProtection="1">
      <alignment horizontal="center" vertical="center" wrapText="1"/>
      <protection/>
    </xf>
    <xf numFmtId="0" fontId="5" fillId="0" borderId="0" xfId="50" applyFont="1">
      <alignment/>
      <protection/>
    </xf>
    <xf numFmtId="0" fontId="0" fillId="0" borderId="41" xfId="50" applyBorder="1">
      <alignment/>
      <protection/>
    </xf>
    <xf numFmtId="0" fontId="0" fillId="0" borderId="42" xfId="50" applyBorder="1">
      <alignment/>
      <protection/>
    </xf>
    <xf numFmtId="0" fontId="0" fillId="0" borderId="43" xfId="50" applyBorder="1">
      <alignment/>
      <protection/>
    </xf>
    <xf numFmtId="0" fontId="3" fillId="0" borderId="0" xfId="50" applyFont="1" applyAlignment="1">
      <alignment vertical="center" wrapText="1"/>
      <protection/>
    </xf>
    <xf numFmtId="182" fontId="0" fillId="0" borderId="16" xfId="0" applyNumberFormat="1" applyFont="1" applyBorder="1" applyAlignment="1">
      <alignment/>
    </xf>
    <xf numFmtId="183" fontId="0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wrapText="1"/>
    </xf>
    <xf numFmtId="2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4" fontId="0" fillId="0" borderId="46" xfId="0" applyNumberFormat="1" applyFont="1" applyBorder="1" applyAlignment="1">
      <alignment/>
    </xf>
    <xf numFmtId="4" fontId="2" fillId="0" borderId="46" xfId="0" applyNumberFormat="1" applyFont="1" applyFill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4" fontId="2" fillId="0" borderId="46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justify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vertical="justify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horizontal="right" wrapText="1"/>
    </xf>
    <xf numFmtId="0" fontId="2" fillId="33" borderId="18" xfId="0" applyFont="1" applyFill="1" applyBorder="1" applyAlignment="1">
      <alignment horizontal="center" vertical="justify"/>
    </xf>
    <xf numFmtId="0" fontId="2" fillId="33" borderId="48" xfId="0" applyFont="1" applyFill="1" applyBorder="1" applyAlignment="1">
      <alignment horizontal="center" vertical="justify"/>
    </xf>
    <xf numFmtId="0" fontId="2" fillId="33" borderId="49" xfId="0" applyFont="1" applyFill="1" applyBorder="1" applyAlignment="1">
      <alignment horizontal="center" vertical="justify"/>
    </xf>
    <xf numFmtId="0" fontId="2" fillId="33" borderId="18" xfId="0" applyFont="1" applyFill="1" applyBorder="1" applyAlignment="1">
      <alignment horizontal="center" vertical="justify" wrapText="1"/>
    </xf>
    <xf numFmtId="0" fontId="2" fillId="33" borderId="48" xfId="0" applyFont="1" applyFill="1" applyBorder="1" applyAlignment="1">
      <alignment horizontal="center" vertical="justify" wrapText="1"/>
    </xf>
    <xf numFmtId="0" fontId="2" fillId="33" borderId="49" xfId="0" applyFont="1" applyFill="1" applyBorder="1" applyAlignment="1">
      <alignment horizontal="center" vertical="justify" wrapText="1"/>
    </xf>
    <xf numFmtId="0" fontId="2" fillId="33" borderId="13" xfId="0" applyFont="1" applyFill="1" applyBorder="1" applyAlignment="1">
      <alignment horizontal="center" vertical="justify"/>
    </xf>
    <xf numFmtId="0" fontId="2" fillId="33" borderId="26" xfId="0" applyFont="1" applyFill="1" applyBorder="1" applyAlignment="1">
      <alignment horizontal="center" vertical="justify"/>
    </xf>
    <xf numFmtId="0" fontId="2" fillId="33" borderId="33" xfId="0" applyFont="1" applyFill="1" applyBorder="1" applyAlignment="1">
      <alignment horizontal="center" vertical="justify"/>
    </xf>
    <xf numFmtId="0" fontId="2" fillId="0" borderId="26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justify"/>
    </xf>
    <xf numFmtId="0" fontId="2" fillId="0" borderId="34" xfId="0" applyFont="1" applyBorder="1" applyAlignment="1">
      <alignment horizontal="left" vertical="justify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33" borderId="50" xfId="0" applyFont="1" applyFill="1" applyBorder="1" applyAlignment="1">
      <alignment horizontal="center" vertical="justify"/>
    </xf>
    <xf numFmtId="0" fontId="2" fillId="33" borderId="51" xfId="0" applyFont="1" applyFill="1" applyBorder="1" applyAlignment="1">
      <alignment horizontal="center" vertical="justify"/>
    </xf>
    <xf numFmtId="0" fontId="2" fillId="33" borderId="52" xfId="0" applyFont="1" applyFill="1" applyBorder="1" applyAlignment="1">
      <alignment horizontal="center" vertical="justify"/>
    </xf>
    <xf numFmtId="0" fontId="4" fillId="0" borderId="18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48" xfId="0" applyFont="1" applyFill="1" applyBorder="1" applyAlignment="1">
      <alignment horizontal="center"/>
    </xf>
    <xf numFmtId="0" fontId="2" fillId="38" borderId="49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10" fontId="2" fillId="0" borderId="17" xfId="0" applyNumberFormat="1" applyFont="1" applyBorder="1" applyAlignment="1">
      <alignment horizontal="center"/>
    </xf>
    <xf numFmtId="10" fontId="2" fillId="0" borderId="53" xfId="0" applyNumberFormat="1" applyFont="1" applyBorder="1" applyAlignment="1">
      <alignment horizontal="center"/>
    </xf>
    <xf numFmtId="49" fontId="2" fillId="0" borderId="47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0" fillId="36" borderId="54" xfId="0" applyFill="1" applyBorder="1" applyAlignment="1">
      <alignment vertical="top" wrapText="1"/>
    </xf>
    <xf numFmtId="0" fontId="0" fillId="36" borderId="55" xfId="0" applyFill="1" applyBorder="1" applyAlignment="1">
      <alignment vertical="top" wrapText="1"/>
    </xf>
    <xf numFmtId="0" fontId="0" fillId="36" borderId="29" xfId="0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2" fillId="36" borderId="56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9" fillId="36" borderId="29" xfId="0" applyNumberFormat="1" applyFont="1" applyFill="1" applyBorder="1" applyAlignment="1">
      <alignment vertical="top" wrapText="1"/>
    </xf>
    <xf numFmtId="0" fontId="2" fillId="36" borderId="59" xfId="0" applyFont="1" applyFill="1" applyBorder="1" applyAlignment="1">
      <alignment horizontal="left" vertical="center"/>
    </xf>
    <xf numFmtId="0" fontId="2" fillId="36" borderId="25" xfId="0" applyFont="1" applyFill="1" applyBorder="1" applyAlignment="1">
      <alignment horizontal="left" vertical="center"/>
    </xf>
    <xf numFmtId="0" fontId="2" fillId="36" borderId="23" xfId="0" applyFont="1" applyFill="1" applyBorder="1" applyAlignment="1">
      <alignment horizontal="left" vertical="center"/>
    </xf>
    <xf numFmtId="0" fontId="0" fillId="36" borderId="30" xfId="0" applyFill="1" applyBorder="1" applyAlignment="1">
      <alignment vertical="top" wrapText="1"/>
    </xf>
    <xf numFmtId="0" fontId="3" fillId="0" borderId="57" xfId="0" applyFont="1" applyBorder="1" applyAlignment="1">
      <alignment horizontal="center" vertical="center"/>
    </xf>
    <xf numFmtId="0" fontId="2" fillId="36" borderId="60" xfId="0" applyFont="1" applyFill="1" applyBorder="1" applyAlignment="1">
      <alignment horizontal="left" vertical="center"/>
    </xf>
    <xf numFmtId="0" fontId="2" fillId="36" borderId="61" xfId="0" applyFont="1" applyFill="1" applyBorder="1" applyAlignment="1">
      <alignment horizontal="left" vertical="center" wrapText="1"/>
    </xf>
    <xf numFmtId="0" fontId="2" fillId="36" borderId="60" xfId="0" applyFont="1" applyFill="1" applyBorder="1" applyAlignment="1">
      <alignment horizontal="left" vertical="center" wrapText="1"/>
    </xf>
    <xf numFmtId="0" fontId="2" fillId="36" borderId="62" xfId="0" applyFont="1" applyFill="1" applyBorder="1" applyAlignment="1">
      <alignment horizontal="left" vertical="center" wrapText="1"/>
    </xf>
    <xf numFmtId="178" fontId="2" fillId="36" borderId="63" xfId="0" applyNumberFormat="1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wrapText="1"/>
    </xf>
    <xf numFmtId="0" fontId="11" fillId="36" borderId="48" xfId="0" applyFont="1" applyFill="1" applyBorder="1" applyAlignment="1">
      <alignment horizontal="center" wrapText="1"/>
    </xf>
    <xf numFmtId="0" fontId="11" fillId="36" borderId="49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left" vertical="center"/>
    </xf>
    <xf numFmtId="0" fontId="2" fillId="36" borderId="49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vertical="center" wrapText="1"/>
    </xf>
    <xf numFmtId="0" fontId="4" fillId="38" borderId="0" xfId="0" applyFont="1" applyFill="1" applyBorder="1" applyAlignment="1">
      <alignment vertical="center" wrapText="1"/>
    </xf>
    <xf numFmtId="0" fontId="4" fillId="38" borderId="15" xfId="0" applyFont="1" applyFill="1" applyBorder="1" applyAlignment="1">
      <alignment vertical="center" wrapText="1"/>
    </xf>
    <xf numFmtId="0" fontId="4" fillId="38" borderId="35" xfId="0" applyFont="1" applyFill="1" applyBorder="1" applyAlignment="1">
      <alignment vertical="center" wrapText="1"/>
    </xf>
    <xf numFmtId="0" fontId="2" fillId="36" borderId="25" xfId="0" applyFont="1" applyFill="1" applyBorder="1" applyAlignment="1">
      <alignment horizontal="center" wrapText="1"/>
    </xf>
    <xf numFmtId="0" fontId="10" fillId="38" borderId="18" xfId="0" applyFont="1" applyFill="1" applyBorder="1" applyAlignment="1">
      <alignment horizontal="center"/>
    </xf>
    <xf numFmtId="0" fontId="10" fillId="38" borderId="48" xfId="0" applyFont="1" applyFill="1" applyBorder="1" applyAlignment="1">
      <alignment horizontal="center"/>
    </xf>
    <xf numFmtId="0" fontId="10" fillId="38" borderId="49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/>
    </xf>
    <xf numFmtId="4" fontId="0" fillId="0" borderId="65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 wrapText="1"/>
    </xf>
    <xf numFmtId="4" fontId="0" fillId="0" borderId="65" xfId="0" applyNumberFormat="1" applyFont="1" applyBorder="1" applyAlignment="1">
      <alignment horizontal="center" wrapText="1"/>
    </xf>
    <xf numFmtId="4" fontId="0" fillId="0" borderId="19" xfId="0" applyNumberFormat="1" applyFont="1" applyBorder="1" applyAlignment="1">
      <alignment horizontal="center" wrapText="1"/>
    </xf>
    <xf numFmtId="4" fontId="0" fillId="0" borderId="66" xfId="0" applyNumberFormat="1" applyFont="1" applyBorder="1" applyAlignment="1">
      <alignment horizontal="center" wrapText="1"/>
    </xf>
    <xf numFmtId="4" fontId="0" fillId="0" borderId="63" xfId="0" applyNumberFormat="1" applyFont="1" applyBorder="1" applyAlignment="1">
      <alignment horizontal="center" wrapText="1"/>
    </xf>
    <xf numFmtId="4" fontId="0" fillId="0" borderId="67" xfId="0" applyNumberFormat="1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4" fontId="0" fillId="0" borderId="20" xfId="0" applyNumberFormat="1" applyFont="1" applyBorder="1" applyAlignment="1">
      <alignment horizontal="center"/>
    </xf>
    <xf numFmtId="4" fontId="0" fillId="0" borderId="66" xfId="0" applyNumberFormat="1" applyFont="1" applyBorder="1" applyAlignment="1">
      <alignment horizontal="center"/>
    </xf>
    <xf numFmtId="4" fontId="0" fillId="0" borderId="63" xfId="0" applyNumberFormat="1" applyFont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4" fontId="0" fillId="0" borderId="65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65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4" fontId="0" fillId="34" borderId="20" xfId="0" applyNumberFormat="1" applyFont="1" applyFill="1" applyBorder="1" applyAlignment="1">
      <alignment horizontal="center"/>
    </xf>
    <xf numFmtId="4" fontId="0" fillId="34" borderId="65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 vertical="center"/>
    </xf>
    <xf numFmtId="4" fontId="2" fillId="33" borderId="57" xfId="0" applyNumberFormat="1" applyFon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0" borderId="66" xfId="0" applyNumberFormat="1" applyFont="1" applyBorder="1" applyAlignment="1">
      <alignment horizontal="center"/>
    </xf>
    <xf numFmtId="0" fontId="0" fillId="0" borderId="0" xfId="50" applyAlignment="1">
      <alignment horizontal="center"/>
      <protection/>
    </xf>
    <xf numFmtId="0" fontId="0" fillId="0" borderId="69" xfId="50" applyBorder="1" applyAlignment="1">
      <alignment horizontal="center"/>
      <protection/>
    </xf>
    <xf numFmtId="0" fontId="0" fillId="0" borderId="70" xfId="50" applyBorder="1" applyAlignment="1">
      <alignment horizontal="center"/>
      <protection/>
    </xf>
    <xf numFmtId="0" fontId="0" fillId="0" borderId="71" xfId="50" applyBorder="1" applyAlignment="1">
      <alignment horizontal="center"/>
      <protection/>
    </xf>
    <xf numFmtId="0" fontId="3" fillId="0" borderId="72" xfId="50" applyFont="1" applyBorder="1" applyAlignment="1">
      <alignment horizontal="center"/>
      <protection/>
    </xf>
    <xf numFmtId="0" fontId="3" fillId="0" borderId="73" xfId="50" applyFont="1" applyBorder="1" applyAlignment="1">
      <alignment horizontal="center"/>
      <protection/>
    </xf>
    <xf numFmtId="0" fontId="3" fillId="0" borderId="74" xfId="50" applyFont="1" applyBorder="1" applyAlignment="1">
      <alignment horizontal="center"/>
      <protection/>
    </xf>
    <xf numFmtId="0" fontId="3" fillId="0" borderId="75" xfId="50" applyFont="1" applyBorder="1" applyAlignment="1" applyProtection="1">
      <alignment horizontal="center"/>
      <protection locked="0"/>
    </xf>
    <xf numFmtId="0" fontId="3" fillId="0" borderId="76" xfId="50" applyFont="1" applyBorder="1" applyAlignment="1" applyProtection="1">
      <alignment horizontal="center"/>
      <protection locked="0"/>
    </xf>
    <xf numFmtId="0" fontId="3" fillId="0" borderId="77" xfId="50" applyFont="1" applyBorder="1" applyAlignment="1" applyProtection="1">
      <alignment horizontal="center"/>
      <protection locked="0"/>
    </xf>
    <xf numFmtId="0" fontId="3" fillId="0" borderId="78" xfId="50" applyFont="1" applyBorder="1" applyAlignment="1">
      <alignment horizontal="center"/>
      <protection/>
    </xf>
    <xf numFmtId="0" fontId="3" fillId="0" borderId="79" xfId="50" applyFont="1" applyBorder="1" applyAlignment="1">
      <alignment horizontal="center"/>
      <protection/>
    </xf>
    <xf numFmtId="0" fontId="3" fillId="0" borderId="80" xfId="50" applyFont="1" applyBorder="1" applyAlignment="1">
      <alignment horizontal="center"/>
      <protection/>
    </xf>
    <xf numFmtId="0" fontId="3" fillId="0" borderId="41" xfId="50" applyFont="1" applyBorder="1" applyAlignment="1">
      <alignment horizontal="center" vertical="center" wrapText="1"/>
      <protection/>
    </xf>
    <xf numFmtId="0" fontId="3" fillId="0" borderId="42" xfId="50" applyFont="1" applyBorder="1" applyAlignment="1">
      <alignment horizontal="center" vertical="center" wrapText="1"/>
      <protection/>
    </xf>
    <xf numFmtId="0" fontId="3" fillId="0" borderId="81" xfId="50" applyFont="1" applyBorder="1" applyAlignment="1">
      <alignment horizontal="center" vertical="center" wrapText="1"/>
      <protection/>
    </xf>
    <xf numFmtId="14" fontId="0" fillId="0" borderId="76" xfId="50" applyNumberFormat="1" applyBorder="1" applyAlignment="1" applyProtection="1">
      <alignment horizontal="center"/>
      <protection locked="0"/>
    </xf>
    <xf numFmtId="14" fontId="0" fillId="0" borderId="77" xfId="50" applyNumberFormat="1" applyBorder="1" applyAlignment="1" applyProtection="1">
      <alignment horizontal="center"/>
      <protection locked="0"/>
    </xf>
    <xf numFmtId="0" fontId="18" fillId="0" borderId="0" xfId="50" applyFont="1" applyAlignment="1">
      <alignment horizontal="center" vertical="center" wrapText="1"/>
      <protection/>
    </xf>
    <xf numFmtId="0" fontId="10" fillId="0" borderId="0" xfId="50" applyFont="1" applyAlignment="1">
      <alignment horizontal="center"/>
      <protection/>
    </xf>
    <xf numFmtId="0" fontId="0" fillId="0" borderId="0" xfId="50" applyAlignment="1">
      <alignment horizontal="center" vertical="top" wrapText="1"/>
      <protection/>
    </xf>
    <xf numFmtId="0" fontId="19" fillId="0" borderId="0" xfId="50" applyFont="1" applyAlignment="1">
      <alignment horizontal="center" vertical="center" wrapText="1"/>
      <protection/>
    </xf>
    <xf numFmtId="0" fontId="0" fillId="0" borderId="41" xfId="50" applyBorder="1" applyAlignment="1" applyProtection="1">
      <alignment horizontal="left" vertical="top" wrapText="1"/>
      <protection locked="0"/>
    </xf>
    <xf numFmtId="0" fontId="0" fillId="0" borderId="42" xfId="50" applyBorder="1" applyAlignment="1" applyProtection="1">
      <alignment horizontal="left" vertical="top" wrapText="1"/>
      <protection locked="0"/>
    </xf>
    <xf numFmtId="0" fontId="0" fillId="0" borderId="43" xfId="50" applyBorder="1" applyAlignment="1" applyProtection="1">
      <alignment horizontal="left" vertical="top" wrapText="1"/>
      <protection locked="0"/>
    </xf>
    <xf numFmtId="0" fontId="0" fillId="0" borderId="82" xfId="50" applyBorder="1" applyAlignment="1" applyProtection="1">
      <alignment horizontal="center" vertical="center"/>
      <protection locked="0"/>
    </xf>
    <xf numFmtId="0" fontId="0" fillId="0" borderId="83" xfId="50" applyBorder="1" applyAlignment="1" applyProtection="1">
      <alignment horizontal="center" vertical="center"/>
      <protection locked="0"/>
    </xf>
    <xf numFmtId="0" fontId="3" fillId="39" borderId="84" xfId="50" applyFont="1" applyFill="1" applyBorder="1" applyAlignment="1">
      <alignment horizontal="center" vertical="center" wrapText="1"/>
      <protection/>
    </xf>
    <xf numFmtId="0" fontId="3" fillId="39" borderId="85" xfId="50" applyFont="1" applyFill="1" applyBorder="1" applyAlignment="1">
      <alignment horizontal="center" vertical="center" wrapText="1"/>
      <protection/>
    </xf>
    <xf numFmtId="0" fontId="3" fillId="39" borderId="86" xfId="50" applyFont="1" applyFill="1" applyBorder="1" applyAlignment="1">
      <alignment horizontal="center" vertical="center" wrapText="1"/>
      <protection/>
    </xf>
    <xf numFmtId="0" fontId="3" fillId="39" borderId="87" xfId="50" applyFont="1" applyFill="1" applyBorder="1" applyAlignment="1">
      <alignment horizontal="center" vertical="center" wrapText="1"/>
      <protection/>
    </xf>
    <xf numFmtId="0" fontId="3" fillId="39" borderId="82" xfId="50" applyFont="1" applyFill="1" applyBorder="1" applyAlignment="1">
      <alignment horizontal="center" vertical="center" wrapText="1"/>
      <protection/>
    </xf>
    <xf numFmtId="0" fontId="3" fillId="39" borderId="83" xfId="50" applyFont="1" applyFill="1" applyBorder="1" applyAlignment="1">
      <alignment horizontal="center" vertical="center" wrapText="1"/>
      <protection/>
    </xf>
    <xf numFmtId="0" fontId="3" fillId="0" borderId="78" xfId="50" applyFont="1" applyBorder="1" applyAlignment="1">
      <alignment horizontal="left" vertical="center" wrapText="1"/>
      <protection/>
    </xf>
    <xf numFmtId="0" fontId="3" fillId="0" borderId="79" xfId="50" applyFont="1" applyBorder="1" applyAlignment="1">
      <alignment horizontal="left" vertical="center" wrapText="1"/>
      <protection/>
    </xf>
    <xf numFmtId="43" fontId="3" fillId="0" borderId="79" xfId="66" applyFont="1" applyFill="1" applyBorder="1" applyAlignment="1" applyProtection="1">
      <alignment horizontal="center" vertical="center" wrapText="1"/>
      <protection/>
    </xf>
    <xf numFmtId="43" fontId="3" fillId="0" borderId="80" xfId="66" applyFont="1" applyFill="1" applyBorder="1" applyAlignment="1" applyProtection="1">
      <alignment horizontal="center" vertical="center" wrapText="1"/>
      <protection/>
    </xf>
    <xf numFmtId="43" fontId="3" fillId="0" borderId="78" xfId="66" applyFont="1" applyFill="1" applyBorder="1" applyAlignment="1" applyProtection="1">
      <alignment horizontal="center" vertical="center" wrapText="1"/>
      <protection/>
    </xf>
    <xf numFmtId="0" fontId="2" fillId="0" borderId="88" xfId="50" applyFont="1" applyBorder="1" applyAlignment="1">
      <alignment horizontal="left" vertical="center" wrapText="1"/>
      <protection/>
    </xf>
    <xf numFmtId="0" fontId="0" fillId="0" borderId="38" xfId="50" applyBorder="1" applyAlignment="1">
      <alignment horizontal="left" vertical="center" wrapText="1"/>
      <protection/>
    </xf>
    <xf numFmtId="181" fontId="12" fillId="0" borderId="89" xfId="66" applyNumberFormat="1" applyFont="1" applyFill="1" applyBorder="1" applyAlignment="1" applyProtection="1">
      <alignment horizontal="center" vertical="center" wrapText="1"/>
      <protection/>
    </xf>
    <xf numFmtId="181" fontId="12" fillId="0" borderId="90" xfId="66" applyNumberFormat="1" applyFont="1" applyFill="1" applyBorder="1" applyAlignment="1" applyProtection="1">
      <alignment horizontal="center" vertical="center" wrapText="1"/>
      <protection/>
    </xf>
    <xf numFmtId="181" fontId="12" fillId="0" borderId="91" xfId="66" applyNumberFormat="1" applyFont="1" applyFill="1" applyBorder="1" applyAlignment="1" applyProtection="1">
      <alignment horizontal="center" vertical="center" wrapText="1"/>
      <protection/>
    </xf>
    <xf numFmtId="43" fontId="3" fillId="0" borderId="0" xfId="66" applyFont="1" applyFill="1" applyBorder="1" applyAlignment="1" applyProtection="1">
      <alignment horizontal="center" vertical="center" wrapText="1"/>
      <protection/>
    </xf>
    <xf numFmtId="0" fontId="4" fillId="39" borderId="20" xfId="50" applyFont="1" applyFill="1" applyBorder="1" applyAlignment="1">
      <alignment horizontal="center" vertical="center" wrapText="1"/>
      <protection/>
    </xf>
    <xf numFmtId="0" fontId="4" fillId="39" borderId="65" xfId="50" applyFont="1" applyFill="1" applyBorder="1" applyAlignment="1">
      <alignment horizontal="center" vertical="center" wrapText="1"/>
      <protection/>
    </xf>
    <xf numFmtId="0" fontId="4" fillId="39" borderId="92" xfId="50" applyFont="1" applyFill="1" applyBorder="1" applyAlignment="1">
      <alignment horizontal="center" vertical="center" wrapText="1"/>
      <protection/>
    </xf>
    <xf numFmtId="181" fontId="4" fillId="39" borderId="18" xfId="66" applyNumberFormat="1" applyFont="1" applyFill="1" applyBorder="1" applyAlignment="1" applyProtection="1">
      <alignment horizontal="center" vertical="center" wrapText="1"/>
      <protection/>
    </xf>
    <xf numFmtId="181" fontId="4" fillId="39" borderId="48" xfId="66" applyNumberFormat="1" applyFont="1" applyFill="1" applyBorder="1" applyAlignment="1" applyProtection="1">
      <alignment horizontal="center" vertical="center" wrapText="1"/>
      <protection/>
    </xf>
    <xf numFmtId="181" fontId="4" fillId="39" borderId="49" xfId="66" applyNumberFormat="1" applyFont="1" applyFill="1" applyBorder="1" applyAlignment="1" applyProtection="1">
      <alignment horizontal="center" vertical="center" wrapText="1"/>
      <protection/>
    </xf>
    <xf numFmtId="0" fontId="2" fillId="0" borderId="93" xfId="50" applyFont="1" applyBorder="1" applyAlignment="1">
      <alignment horizontal="left" vertical="center" wrapText="1"/>
      <protection/>
    </xf>
    <xf numFmtId="0" fontId="0" fillId="0" borderId="42" xfId="50" applyBorder="1" applyAlignment="1">
      <alignment horizontal="left" vertical="center" wrapText="1"/>
      <protection/>
    </xf>
    <xf numFmtId="181" fontId="12" fillId="0" borderId="55" xfId="66" applyNumberFormat="1" applyFont="1" applyFill="1" applyBorder="1" applyAlignment="1" applyProtection="1">
      <alignment horizontal="center" vertical="center" wrapText="1"/>
      <protection locked="0"/>
    </xf>
    <xf numFmtId="181" fontId="12" fillId="0" borderId="29" xfId="66" applyNumberFormat="1" applyFont="1" applyFill="1" applyBorder="1" applyAlignment="1" applyProtection="1">
      <alignment horizontal="center" vertical="center" wrapText="1"/>
      <protection locked="0"/>
    </xf>
    <xf numFmtId="181" fontId="12" fillId="0" borderId="94" xfId="66" applyNumberFormat="1" applyFont="1" applyFill="1" applyBorder="1" applyAlignment="1" applyProtection="1">
      <alignment horizontal="center" vertical="center" wrapText="1"/>
      <protection locked="0"/>
    </xf>
    <xf numFmtId="43" fontId="3" fillId="0" borderId="75" xfId="66" applyFont="1" applyFill="1" applyBorder="1" applyAlignment="1" applyProtection="1">
      <alignment horizontal="center" vertical="center" wrapText="1"/>
      <protection/>
    </xf>
    <xf numFmtId="43" fontId="3" fillId="0" borderId="76" xfId="66" applyFont="1" applyFill="1" applyBorder="1" applyAlignment="1" applyProtection="1">
      <alignment horizontal="center" vertical="center" wrapText="1"/>
      <protection/>
    </xf>
    <xf numFmtId="43" fontId="3" fillId="0" borderId="77" xfId="66" applyFont="1" applyFill="1" applyBorder="1" applyAlignment="1" applyProtection="1">
      <alignment horizontal="center" vertical="center" wrapText="1"/>
      <protection/>
    </xf>
    <xf numFmtId="2" fontId="12" fillId="0" borderId="55" xfId="66" applyNumberFormat="1" applyFont="1" applyFill="1" applyBorder="1" applyAlignment="1" applyProtection="1">
      <alignment horizontal="center" vertical="center" wrapText="1"/>
      <protection/>
    </xf>
    <xf numFmtId="2" fontId="12" fillId="0" borderId="29" xfId="66" applyNumberFormat="1" applyFont="1" applyFill="1" applyBorder="1" applyAlignment="1" applyProtection="1">
      <alignment horizontal="center" vertical="center" wrapText="1"/>
      <protection/>
    </xf>
    <xf numFmtId="2" fontId="12" fillId="0" borderId="94" xfId="66" applyNumberFormat="1" applyFont="1" applyFill="1" applyBorder="1" applyAlignment="1" applyProtection="1">
      <alignment horizontal="center" vertical="center" wrapText="1"/>
      <protection/>
    </xf>
    <xf numFmtId="0" fontId="7" fillId="0" borderId="93" xfId="50" applyFont="1" applyBorder="1" applyAlignment="1">
      <alignment horizontal="left" vertical="center" wrapText="1"/>
      <protection/>
    </xf>
    <xf numFmtId="0" fontId="6" fillId="0" borderId="42" xfId="50" applyFont="1" applyBorder="1" applyAlignment="1">
      <alignment horizontal="left" vertical="center" wrapText="1"/>
      <protection/>
    </xf>
    <xf numFmtId="0" fontId="7" fillId="0" borderId="84" xfId="50" applyFont="1" applyBorder="1" applyAlignment="1">
      <alignment horizontal="left" vertical="center" wrapText="1"/>
      <protection/>
    </xf>
    <xf numFmtId="0" fontId="6" fillId="0" borderId="85" xfId="50" applyFont="1" applyBorder="1" applyAlignment="1">
      <alignment horizontal="left" vertical="center" wrapText="1"/>
      <protection/>
    </xf>
    <xf numFmtId="181" fontId="12" fillId="0" borderId="95" xfId="66" applyNumberFormat="1" applyFont="1" applyFill="1" applyBorder="1" applyAlignment="1" applyProtection="1">
      <alignment horizontal="center" vertical="center" wrapText="1"/>
      <protection locked="0"/>
    </xf>
    <xf numFmtId="181" fontId="12" fillId="0" borderId="28" xfId="66" applyNumberFormat="1" applyFont="1" applyFill="1" applyBorder="1" applyAlignment="1" applyProtection="1">
      <alignment horizontal="center" vertical="center" wrapText="1"/>
      <protection locked="0"/>
    </xf>
    <xf numFmtId="181" fontId="12" fillId="0" borderId="96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0" applyFont="1" applyBorder="1" applyAlignment="1">
      <alignment horizontal="left"/>
      <protection/>
    </xf>
    <xf numFmtId="10" fontId="7" fillId="0" borderId="10" xfId="50" applyNumberFormat="1" applyFont="1" applyBorder="1" applyAlignment="1" applyProtection="1">
      <alignment horizontal="center"/>
      <protection locked="0"/>
    </xf>
    <xf numFmtId="0" fontId="14" fillId="36" borderId="0" xfId="50" applyFont="1" applyFill="1" applyAlignment="1">
      <alignment horizontal="center" vertical="center" wrapText="1"/>
      <protection/>
    </xf>
    <xf numFmtId="0" fontId="2" fillId="39" borderId="68" xfId="50" applyFont="1" applyFill="1" applyBorder="1" applyAlignment="1">
      <alignment horizontal="center" vertical="center"/>
      <protection/>
    </xf>
    <xf numFmtId="0" fontId="2" fillId="39" borderId="57" xfId="50" applyFont="1" applyFill="1" applyBorder="1" applyAlignment="1">
      <alignment horizontal="center" vertical="center"/>
      <protection/>
    </xf>
    <xf numFmtId="0" fontId="2" fillId="39" borderId="21" xfId="50" applyFont="1" applyFill="1" applyBorder="1" applyAlignment="1">
      <alignment horizontal="center" vertical="center"/>
      <protection/>
    </xf>
    <xf numFmtId="0" fontId="2" fillId="39" borderId="25" xfId="50" applyFont="1" applyFill="1" applyBorder="1" applyAlignment="1">
      <alignment horizontal="center" vertical="center"/>
      <protection/>
    </xf>
    <xf numFmtId="0" fontId="2" fillId="39" borderId="13" xfId="50" applyFont="1" applyFill="1" applyBorder="1" applyAlignment="1">
      <alignment horizontal="center" vertical="center" wrapText="1"/>
      <protection/>
    </xf>
    <xf numFmtId="0" fontId="2" fillId="39" borderId="26" xfId="50" applyFont="1" applyFill="1" applyBorder="1" applyAlignment="1">
      <alignment horizontal="center" vertical="center" wrapText="1"/>
      <protection/>
    </xf>
    <xf numFmtId="0" fontId="2" fillId="39" borderId="33" xfId="50" applyFont="1" applyFill="1" applyBorder="1" applyAlignment="1">
      <alignment horizontal="center" vertical="center" wrapText="1"/>
      <protection/>
    </xf>
    <xf numFmtId="0" fontId="2" fillId="39" borderId="59" xfId="50" applyFont="1" applyFill="1" applyBorder="1" applyAlignment="1">
      <alignment horizontal="center" vertical="center" wrapText="1"/>
      <protection/>
    </xf>
    <xf numFmtId="0" fontId="2" fillId="39" borderId="25" xfId="50" applyFont="1" applyFill="1" applyBorder="1" applyAlignment="1">
      <alignment horizontal="center" vertical="center" wrapText="1"/>
      <protection/>
    </xf>
    <xf numFmtId="0" fontId="2" fillId="39" borderId="97" xfId="50" applyFont="1" applyFill="1" applyBorder="1" applyAlignment="1">
      <alignment horizontal="center" vertical="center" wrapText="1"/>
      <protection/>
    </xf>
    <xf numFmtId="0" fontId="3" fillId="39" borderId="75" xfId="50" applyFont="1" applyFill="1" applyBorder="1" applyAlignment="1">
      <alignment horizontal="center" vertical="center" wrapText="1"/>
      <protection/>
    </xf>
    <xf numFmtId="0" fontId="3" fillId="39" borderId="76" xfId="50" applyFont="1" applyFill="1" applyBorder="1" applyAlignment="1">
      <alignment horizontal="center" vertical="center" wrapText="1"/>
      <protection/>
    </xf>
    <xf numFmtId="0" fontId="3" fillId="39" borderId="77" xfId="50" applyFont="1" applyFill="1" applyBorder="1" applyAlignment="1">
      <alignment horizontal="center" vertical="center" wrapText="1"/>
      <protection/>
    </xf>
    <xf numFmtId="0" fontId="0" fillId="0" borderId="75" xfId="50" applyBorder="1" applyAlignment="1">
      <alignment horizontal="left"/>
      <protection/>
    </xf>
    <xf numFmtId="0" fontId="0" fillId="0" borderId="76" xfId="50" applyBorder="1" applyAlignment="1">
      <alignment horizontal="left"/>
      <protection/>
    </xf>
    <xf numFmtId="0" fontId="0" fillId="0" borderId="76" xfId="50" applyBorder="1" applyAlignment="1" applyProtection="1">
      <alignment horizontal="left"/>
      <protection locked="0"/>
    </xf>
    <xf numFmtId="0" fontId="0" fillId="0" borderId="77" xfId="50" applyBorder="1" applyAlignment="1" applyProtection="1">
      <alignment horizontal="left"/>
      <protection locked="0"/>
    </xf>
    <xf numFmtId="0" fontId="0" fillId="0" borderId="78" xfId="50" applyBorder="1" applyAlignment="1">
      <alignment horizontal="left"/>
      <protection/>
    </xf>
    <xf numFmtId="0" fontId="0" fillId="0" borderId="79" xfId="50" applyBorder="1" applyAlignment="1">
      <alignment horizontal="left"/>
      <protection/>
    </xf>
    <xf numFmtId="9" fontId="7" fillId="0" borderId="10" xfId="50" applyNumberFormat="1" applyFont="1" applyBorder="1" applyAlignment="1" applyProtection="1">
      <alignment horizontal="center"/>
      <protection locked="0"/>
    </xf>
    <xf numFmtId="0" fontId="4" fillId="0" borderId="0" xfId="50" applyFont="1" applyAlignment="1">
      <alignment horizontal="center"/>
      <protection/>
    </xf>
    <xf numFmtId="0" fontId="0" fillId="0" borderId="87" xfId="50" applyBorder="1" applyAlignment="1">
      <alignment horizontal="left"/>
      <protection/>
    </xf>
    <xf numFmtId="0" fontId="0" fillId="0" borderId="82" xfId="50" applyBorder="1" applyAlignment="1">
      <alignment horizontal="left"/>
      <protection/>
    </xf>
    <xf numFmtId="0" fontId="0" fillId="0" borderId="82" xfId="50" applyBorder="1" applyAlignment="1" applyProtection="1">
      <alignment horizontal="left"/>
      <protection locked="0"/>
    </xf>
    <xf numFmtId="0" fontId="0" fillId="0" borderId="83" xfId="50" applyBorder="1" applyAlignment="1" applyProtection="1">
      <alignment horizontal="left"/>
      <protection locked="0"/>
    </xf>
    <xf numFmtId="0" fontId="3" fillId="0" borderId="75" xfId="51" applyFont="1" applyBorder="1" applyAlignment="1" applyProtection="1">
      <alignment horizontal="center"/>
      <protection locked="0"/>
    </xf>
    <xf numFmtId="0" fontId="3" fillId="0" borderId="76" xfId="51" applyFont="1" applyBorder="1" applyAlignment="1" applyProtection="1">
      <alignment horizontal="center"/>
      <protection locked="0"/>
    </xf>
    <xf numFmtId="0" fontId="3" fillId="0" borderId="77" xfId="51" applyFont="1" applyBorder="1" applyAlignment="1" applyProtection="1">
      <alignment horizontal="center"/>
      <protection locked="0"/>
    </xf>
    <xf numFmtId="0" fontId="18" fillId="0" borderId="0" xfId="51" applyFont="1" applyAlignment="1">
      <alignment horizontal="center" vertical="center" wrapText="1"/>
      <protection/>
    </xf>
    <xf numFmtId="0" fontId="10" fillId="0" borderId="0" xfId="51" applyFont="1" applyAlignment="1">
      <alignment horizontal="center"/>
      <protection/>
    </xf>
    <xf numFmtId="0" fontId="0" fillId="0" borderId="0" xfId="51" applyAlignment="1">
      <alignment horizontal="center" vertical="top" wrapText="1"/>
      <protection/>
    </xf>
    <xf numFmtId="0" fontId="19" fillId="0" borderId="0" xfId="51" applyFont="1" applyAlignment="1">
      <alignment horizontal="center" vertical="center" wrapText="1"/>
      <protection/>
    </xf>
    <xf numFmtId="0" fontId="3" fillId="0" borderId="78" xfId="51" applyFont="1" applyBorder="1" applyAlignment="1">
      <alignment horizontal="center"/>
      <protection/>
    </xf>
    <xf numFmtId="0" fontId="3" fillId="0" borderId="79" xfId="51" applyFont="1" applyBorder="1" applyAlignment="1">
      <alignment horizontal="center"/>
      <protection/>
    </xf>
    <xf numFmtId="0" fontId="3" fillId="0" borderId="80" xfId="51" applyFont="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69" xfId="51" applyBorder="1" applyAlignment="1">
      <alignment horizontal="center"/>
      <protection/>
    </xf>
    <xf numFmtId="0" fontId="0" fillId="0" borderId="70" xfId="51" applyBorder="1" applyAlignment="1">
      <alignment horizontal="center"/>
      <protection/>
    </xf>
    <xf numFmtId="0" fontId="0" fillId="0" borderId="71" xfId="51" applyBorder="1" applyAlignment="1">
      <alignment horizontal="center"/>
      <protection/>
    </xf>
    <xf numFmtId="0" fontId="3" fillId="0" borderId="72" xfId="51" applyFont="1" applyBorder="1" applyAlignment="1">
      <alignment horizontal="center"/>
      <protection/>
    </xf>
    <xf numFmtId="0" fontId="3" fillId="0" borderId="73" xfId="51" applyFont="1" applyBorder="1" applyAlignment="1">
      <alignment horizontal="center"/>
      <protection/>
    </xf>
    <xf numFmtId="0" fontId="3" fillId="0" borderId="74" xfId="51" applyFont="1" applyBorder="1" applyAlignment="1">
      <alignment horizontal="center"/>
      <protection/>
    </xf>
    <xf numFmtId="0" fontId="4" fillId="39" borderId="20" xfId="51" applyFont="1" applyFill="1" applyBorder="1" applyAlignment="1">
      <alignment horizontal="center" vertical="center" wrapText="1"/>
      <protection/>
    </xf>
    <xf numFmtId="0" fontId="4" fillId="39" borderId="65" xfId="51" applyFont="1" applyFill="1" applyBorder="1" applyAlignment="1">
      <alignment horizontal="center" vertical="center" wrapText="1"/>
      <protection/>
    </xf>
    <xf numFmtId="0" fontId="4" fillId="39" borderId="92" xfId="51" applyFont="1" applyFill="1" applyBorder="1" applyAlignment="1">
      <alignment horizontal="center" vertical="center" wrapText="1"/>
      <protection/>
    </xf>
    <xf numFmtId="0" fontId="3" fillId="39" borderId="84" xfId="51" applyFont="1" applyFill="1" applyBorder="1" applyAlignment="1">
      <alignment horizontal="center" vertical="center" wrapText="1"/>
      <protection/>
    </xf>
    <xf numFmtId="0" fontId="3" fillId="39" borderId="85" xfId="51" applyFont="1" applyFill="1" applyBorder="1" applyAlignment="1">
      <alignment horizontal="center" vertical="center" wrapText="1"/>
      <protection/>
    </xf>
    <xf numFmtId="0" fontId="3" fillId="39" borderId="86" xfId="51" applyFont="1" applyFill="1" applyBorder="1" applyAlignment="1">
      <alignment horizontal="center" vertical="center" wrapText="1"/>
      <protection/>
    </xf>
    <xf numFmtId="0" fontId="3" fillId="39" borderId="87" xfId="51" applyFont="1" applyFill="1" applyBorder="1" applyAlignment="1">
      <alignment horizontal="center" vertical="center" wrapText="1"/>
      <protection/>
    </xf>
    <xf numFmtId="0" fontId="3" fillId="39" borderId="82" xfId="51" applyFont="1" applyFill="1" applyBorder="1" applyAlignment="1">
      <alignment horizontal="center" vertical="center" wrapText="1"/>
      <protection/>
    </xf>
    <xf numFmtId="0" fontId="3" fillId="39" borderId="83" xfId="51" applyFont="1" applyFill="1" applyBorder="1" applyAlignment="1">
      <alignment horizontal="center" vertical="center" wrapText="1"/>
      <protection/>
    </xf>
    <xf numFmtId="14" fontId="0" fillId="0" borderId="76" xfId="51" applyNumberFormat="1" applyBorder="1" applyAlignment="1" applyProtection="1">
      <alignment horizontal="center"/>
      <protection locked="0"/>
    </xf>
    <xf numFmtId="14" fontId="0" fillId="0" borderId="77" xfId="51" applyNumberFormat="1" applyBorder="1" applyAlignment="1" applyProtection="1">
      <alignment horizontal="center"/>
      <protection locked="0"/>
    </xf>
    <xf numFmtId="0" fontId="0" fillId="0" borderId="41" xfId="51" applyBorder="1" applyAlignment="1" applyProtection="1">
      <alignment horizontal="left" vertical="top" wrapText="1"/>
      <protection locked="0"/>
    </xf>
    <xf numFmtId="0" fontId="0" fillId="0" borderId="42" xfId="51" applyBorder="1" applyAlignment="1" applyProtection="1">
      <alignment horizontal="left" vertical="top" wrapText="1"/>
      <protection locked="0"/>
    </xf>
    <xf numFmtId="0" fontId="0" fillId="0" borderId="43" xfId="51" applyBorder="1" applyAlignment="1" applyProtection="1">
      <alignment horizontal="left" vertical="top" wrapText="1"/>
      <protection locked="0"/>
    </xf>
    <xf numFmtId="0" fontId="2" fillId="0" borderId="93" xfId="51" applyFont="1" applyBorder="1" applyAlignment="1">
      <alignment horizontal="left" vertical="center" wrapText="1"/>
      <protection/>
    </xf>
    <xf numFmtId="0" fontId="0" fillId="0" borderId="42" xfId="51" applyBorder="1" applyAlignment="1">
      <alignment horizontal="left" vertical="center" wrapText="1"/>
      <protection/>
    </xf>
    <xf numFmtId="0" fontId="7" fillId="0" borderId="93" xfId="51" applyFont="1" applyBorder="1" applyAlignment="1">
      <alignment horizontal="left" vertical="center" wrapText="1"/>
      <protection/>
    </xf>
    <xf numFmtId="0" fontId="6" fillId="0" borderId="42" xfId="51" applyFont="1" applyBorder="1" applyAlignment="1">
      <alignment horizontal="left" vertical="center" wrapText="1"/>
      <protection/>
    </xf>
    <xf numFmtId="0" fontId="7" fillId="0" borderId="84" xfId="51" applyFont="1" applyBorder="1" applyAlignment="1">
      <alignment horizontal="left" vertical="center" wrapText="1"/>
      <protection/>
    </xf>
    <xf numFmtId="0" fontId="6" fillId="0" borderId="85" xfId="51" applyFont="1" applyBorder="1" applyAlignment="1">
      <alignment horizontal="left" vertical="center" wrapText="1"/>
      <protection/>
    </xf>
    <xf numFmtId="0" fontId="14" fillId="36" borderId="0" xfId="51" applyFont="1" applyFill="1" applyAlignment="1">
      <alignment horizontal="center" vertical="center" wrapText="1"/>
      <protection/>
    </xf>
    <xf numFmtId="0" fontId="2" fillId="39" borderId="68" xfId="51" applyFont="1" applyFill="1" applyBorder="1" applyAlignment="1">
      <alignment horizontal="center" vertical="center"/>
      <protection/>
    </xf>
    <xf numFmtId="0" fontId="2" fillId="39" borderId="57" xfId="51" applyFont="1" applyFill="1" applyBorder="1" applyAlignment="1">
      <alignment horizontal="center" vertical="center"/>
      <protection/>
    </xf>
    <xf numFmtId="0" fontId="2" fillId="39" borderId="21" xfId="51" applyFont="1" applyFill="1" applyBorder="1" applyAlignment="1">
      <alignment horizontal="center" vertical="center"/>
      <protection/>
    </xf>
    <xf numFmtId="0" fontId="2" fillId="39" borderId="25" xfId="51" applyFont="1" applyFill="1" applyBorder="1" applyAlignment="1">
      <alignment horizontal="center" vertical="center"/>
      <protection/>
    </xf>
    <xf numFmtId="0" fontId="2" fillId="39" borderId="13" xfId="51" applyFont="1" applyFill="1" applyBorder="1" applyAlignment="1">
      <alignment horizontal="center" vertical="center" wrapText="1"/>
      <protection/>
    </xf>
    <xf numFmtId="0" fontId="2" fillId="39" borderId="26" xfId="51" applyFont="1" applyFill="1" applyBorder="1" applyAlignment="1">
      <alignment horizontal="center" vertical="center" wrapText="1"/>
      <protection/>
    </xf>
    <xf numFmtId="0" fontId="2" fillId="39" borderId="33" xfId="51" applyFont="1" applyFill="1" applyBorder="1" applyAlignment="1">
      <alignment horizontal="center" vertical="center" wrapText="1"/>
      <protection/>
    </xf>
    <xf numFmtId="0" fontId="2" fillId="39" borderId="59" xfId="51" applyFont="1" applyFill="1" applyBorder="1" applyAlignment="1">
      <alignment horizontal="center" vertical="center" wrapText="1"/>
      <protection/>
    </xf>
    <xf numFmtId="0" fontId="2" fillId="39" borderId="25" xfId="51" applyFont="1" applyFill="1" applyBorder="1" applyAlignment="1">
      <alignment horizontal="center" vertical="center" wrapText="1"/>
      <protection/>
    </xf>
    <xf numFmtId="0" fontId="2" fillId="39" borderId="97" xfId="51" applyFont="1" applyFill="1" applyBorder="1" applyAlignment="1">
      <alignment horizontal="center" vertical="center" wrapText="1"/>
      <protection/>
    </xf>
    <xf numFmtId="0" fontId="3" fillId="39" borderId="75" xfId="51" applyFont="1" applyFill="1" applyBorder="1" applyAlignment="1">
      <alignment horizontal="center" vertical="center" wrapText="1"/>
      <protection/>
    </xf>
    <xf numFmtId="0" fontId="3" fillId="39" borderId="76" xfId="51" applyFont="1" applyFill="1" applyBorder="1" applyAlignment="1">
      <alignment horizontal="center" vertical="center" wrapText="1"/>
      <protection/>
    </xf>
    <xf numFmtId="0" fontId="3" fillId="39" borderId="77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/>
      <protection/>
    </xf>
    <xf numFmtId="0" fontId="0" fillId="0" borderId="87" xfId="51" applyBorder="1" applyAlignment="1">
      <alignment horizontal="left"/>
      <protection/>
    </xf>
    <xf numFmtId="0" fontId="0" fillId="0" borderId="82" xfId="51" applyBorder="1" applyAlignment="1">
      <alignment horizontal="left"/>
      <protection/>
    </xf>
    <xf numFmtId="0" fontId="0" fillId="0" borderId="82" xfId="51" applyBorder="1" applyAlignment="1" applyProtection="1">
      <alignment horizontal="left"/>
      <protection locked="0"/>
    </xf>
    <xf numFmtId="0" fontId="0" fillId="0" borderId="83" xfId="51" applyBorder="1" applyAlignment="1" applyProtection="1">
      <alignment horizontal="left"/>
      <protection locked="0"/>
    </xf>
    <xf numFmtId="0" fontId="0" fillId="0" borderId="75" xfId="51" applyBorder="1" applyAlignment="1">
      <alignment horizontal="left"/>
      <protection/>
    </xf>
    <xf numFmtId="0" fontId="0" fillId="0" borderId="76" xfId="51" applyBorder="1" applyAlignment="1">
      <alignment horizontal="left"/>
      <protection/>
    </xf>
    <xf numFmtId="0" fontId="0" fillId="0" borderId="76" xfId="51" applyBorder="1" applyAlignment="1" applyProtection="1">
      <alignment horizontal="left"/>
      <protection locked="0"/>
    </xf>
    <xf numFmtId="0" fontId="0" fillId="0" borderId="77" xfId="51" applyBorder="1" applyAlignment="1" applyProtection="1">
      <alignment horizontal="left"/>
      <protection locked="0"/>
    </xf>
    <xf numFmtId="0" fontId="3" fillId="0" borderId="41" xfId="51" applyFont="1" applyBorder="1" applyAlignment="1">
      <alignment horizontal="center" vertical="center" wrapText="1"/>
      <protection/>
    </xf>
    <xf numFmtId="0" fontId="3" fillId="0" borderId="42" xfId="51" applyFont="1" applyBorder="1" applyAlignment="1">
      <alignment horizontal="center" vertical="center" wrapText="1"/>
      <protection/>
    </xf>
    <xf numFmtId="0" fontId="3" fillId="0" borderId="81" xfId="51" applyFont="1" applyBorder="1" applyAlignment="1">
      <alignment horizontal="center" vertical="center" wrapText="1"/>
      <protection/>
    </xf>
    <xf numFmtId="0" fontId="2" fillId="0" borderId="88" xfId="51" applyFont="1" applyBorder="1" applyAlignment="1">
      <alignment horizontal="left" vertical="center" wrapText="1"/>
      <protection/>
    </xf>
    <xf numFmtId="0" fontId="0" fillId="0" borderId="38" xfId="51" applyBorder="1" applyAlignment="1">
      <alignment horizontal="left" vertical="center" wrapText="1"/>
      <protection/>
    </xf>
    <xf numFmtId="0" fontId="0" fillId="0" borderId="82" xfId="51" applyBorder="1" applyAlignment="1" applyProtection="1">
      <alignment horizontal="center" vertical="center"/>
      <protection locked="0"/>
    </xf>
    <xf numFmtId="0" fontId="0" fillId="0" borderId="83" xfId="51" applyBorder="1" applyAlignment="1" applyProtection="1">
      <alignment horizontal="center" vertical="center"/>
      <protection locked="0"/>
    </xf>
    <xf numFmtId="0" fontId="3" fillId="0" borderId="78" xfId="51" applyFont="1" applyBorder="1" applyAlignment="1">
      <alignment horizontal="left" vertical="center" wrapText="1"/>
      <protection/>
    </xf>
    <xf numFmtId="0" fontId="3" fillId="0" borderId="79" xfId="51" applyFont="1" applyBorder="1" applyAlignment="1">
      <alignment horizontal="left" vertical="center" wrapText="1"/>
      <protection/>
    </xf>
    <xf numFmtId="10" fontId="7" fillId="0" borderId="10" xfId="51" applyNumberFormat="1" applyFont="1" applyBorder="1" applyAlignment="1" applyProtection="1">
      <alignment horizontal="center"/>
      <protection locked="0"/>
    </xf>
    <xf numFmtId="0" fontId="6" fillId="0" borderId="10" xfId="51" applyFont="1" applyBorder="1" applyAlignment="1">
      <alignment horizontal="left"/>
      <protection/>
    </xf>
    <xf numFmtId="9" fontId="7" fillId="0" borderId="10" xfId="51" applyNumberFormat="1" applyFont="1" applyBorder="1" applyAlignment="1" applyProtection="1">
      <alignment horizontal="center"/>
      <protection locked="0"/>
    </xf>
    <xf numFmtId="0" fontId="0" fillId="0" borderId="78" xfId="51" applyBorder="1" applyAlignment="1">
      <alignment horizontal="left"/>
      <protection/>
    </xf>
    <xf numFmtId="0" fontId="0" fillId="0" borderId="79" xfId="51" applyBorder="1" applyAlignment="1">
      <alignment horizontal="left"/>
      <protection/>
    </xf>
    <xf numFmtId="0" fontId="12" fillId="0" borderId="0" xfId="0" applyFont="1" applyBorder="1" applyAlignment="1">
      <alignment horizontal="left" wrapText="1"/>
    </xf>
    <xf numFmtId="0" fontId="10" fillId="0" borderId="57" xfId="0" applyFont="1" applyBorder="1" applyAlignment="1">
      <alignment horizontal="center" wrapText="1"/>
    </xf>
    <xf numFmtId="0" fontId="2" fillId="0" borderId="2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0" fillId="40" borderId="10" xfId="0" applyFill="1" applyBorder="1" applyAlignment="1">
      <alignment horizontal="center" vertical="justify"/>
    </xf>
    <xf numFmtId="0" fontId="11" fillId="0" borderId="10" xfId="0" applyFont="1" applyBorder="1" applyAlignment="1">
      <alignment horizontal="left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9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6" xfId="66"/>
  </cellStyles>
  <dxfs count="17">
    <dxf>
      <font>
        <color indexed="9"/>
      </font>
    </dxf>
    <dxf>
      <font>
        <color indexed="9"/>
      </font>
    </dxf>
    <dxf>
      <font>
        <b/>
        <i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ont>
        <b/>
        <i val="0"/>
        <strike val="0"/>
        <color indexed="16"/>
      </font>
      <fill>
        <patternFill>
          <bgColor indexed="13"/>
        </patternFill>
      </fill>
    </dxf>
    <dxf>
      <font>
        <b/>
        <i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ont>
        <b/>
        <i val="0"/>
        <strike val="0"/>
        <color indexed="16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</dxf>
    <dxf>
      <font>
        <b/>
        <i val="0"/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80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8</xdr:col>
      <xdr:colOff>514350</xdr:colOff>
      <xdr:row>0</xdr:row>
      <xdr:rowOff>1352550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477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168</xdr:row>
      <xdr:rowOff>76200</xdr:rowOff>
    </xdr:from>
    <xdr:to>
      <xdr:col>5</xdr:col>
      <xdr:colOff>809625</xdr:colOff>
      <xdr:row>173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51530250"/>
          <a:ext cx="5715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0</xdr:row>
      <xdr:rowOff>1419225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39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8</xdr:col>
      <xdr:colOff>514350</xdr:colOff>
      <xdr:row>0</xdr:row>
      <xdr:rowOff>1352550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477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21</xdr:row>
      <xdr:rowOff>9525</xdr:rowOff>
    </xdr:from>
    <xdr:to>
      <xdr:col>19</xdr:col>
      <xdr:colOff>123825</xdr:colOff>
      <xdr:row>23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14875"/>
          <a:ext cx="2143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21</xdr:row>
      <xdr:rowOff>9525</xdr:rowOff>
    </xdr:from>
    <xdr:to>
      <xdr:col>11</xdr:col>
      <xdr:colOff>838200</xdr:colOff>
      <xdr:row>24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952875"/>
          <a:ext cx="2143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8</xdr:col>
      <xdr:colOff>514350</xdr:colOff>
      <xdr:row>0</xdr:row>
      <xdr:rowOff>1352550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191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8</xdr:col>
      <xdr:colOff>514350</xdr:colOff>
      <xdr:row>0</xdr:row>
      <xdr:rowOff>1352550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191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io\Downloads\BDI%20(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io\Downloads\BDI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Plan4"/>
    </sheetNames>
    <sheetDataSet>
      <sheetData sheetId="1">
        <row r="6">
          <cell r="B6" t="str">
            <v>AC: taxa de administração central</v>
          </cell>
          <cell r="C6">
            <v>3</v>
          </cell>
          <cell r="D6">
            <v>3.8</v>
          </cell>
          <cell r="E6">
            <v>3.43</v>
          </cell>
          <cell r="F6">
            <v>5.29</v>
          </cell>
          <cell r="G6">
            <v>4</v>
          </cell>
          <cell r="H6">
            <v>1.5</v>
          </cell>
          <cell r="I6">
            <v>4</v>
          </cell>
          <cell r="J6">
            <v>4.01</v>
          </cell>
          <cell r="K6">
            <v>4.93</v>
          </cell>
          <cell r="L6">
            <v>5.92</v>
          </cell>
          <cell r="M6">
            <v>5.52</v>
          </cell>
          <cell r="N6">
            <v>3.45</v>
          </cell>
          <cell r="O6">
            <v>5.5</v>
          </cell>
          <cell r="P6">
            <v>4.67</v>
          </cell>
          <cell r="Q6">
            <v>6.71</v>
          </cell>
          <cell r="R6">
            <v>7.93</v>
          </cell>
          <cell r="S6">
            <v>7.85</v>
          </cell>
        </row>
        <row r="7">
          <cell r="B7" t="str">
            <v>S+G: taxa de seguros e garantias</v>
          </cell>
          <cell r="C7">
            <v>0.8</v>
          </cell>
          <cell r="D7">
            <v>0.32</v>
          </cell>
          <cell r="E7">
            <v>0.28</v>
          </cell>
          <cell r="F7">
            <v>0.25</v>
          </cell>
          <cell r="G7">
            <v>0.81</v>
          </cell>
          <cell r="H7">
            <v>0.3</v>
          </cell>
          <cell r="I7">
            <v>0.8</v>
          </cell>
          <cell r="J7">
            <v>0.4</v>
          </cell>
          <cell r="K7">
            <v>0.49</v>
          </cell>
          <cell r="L7">
            <v>0.51</v>
          </cell>
          <cell r="M7">
            <v>1.22</v>
          </cell>
          <cell r="N7">
            <v>0.48</v>
          </cell>
          <cell r="O7">
            <v>1</v>
          </cell>
          <cell r="P7">
            <v>0.74</v>
          </cell>
          <cell r="Q7">
            <v>0.75</v>
          </cell>
          <cell r="R7">
            <v>0.56</v>
          </cell>
          <cell r="S7">
            <v>1.99</v>
          </cell>
        </row>
        <row r="8">
          <cell r="B8" t="str">
            <v>R: taxa de riscos</v>
          </cell>
          <cell r="C8">
            <v>0.97</v>
          </cell>
          <cell r="D8">
            <v>0.5</v>
          </cell>
          <cell r="E8">
            <v>1</v>
          </cell>
          <cell r="F8">
            <v>1</v>
          </cell>
          <cell r="G8">
            <v>1.46</v>
          </cell>
          <cell r="H8">
            <v>0.56</v>
          </cell>
          <cell r="I8">
            <v>1.27</v>
          </cell>
          <cell r="J8">
            <v>0.56</v>
          </cell>
          <cell r="K8">
            <v>1.39</v>
          </cell>
          <cell r="L8">
            <v>1.48</v>
          </cell>
          <cell r="M8">
            <v>2.32</v>
          </cell>
          <cell r="N8">
            <v>0.85</v>
          </cell>
          <cell r="O8">
            <v>1.27</v>
          </cell>
          <cell r="P8">
            <v>0.97</v>
          </cell>
          <cell r="Q8">
            <v>1.74</v>
          </cell>
          <cell r="R8">
            <v>1.97</v>
          </cell>
          <cell r="S8">
            <v>3.16</v>
          </cell>
        </row>
        <row r="9">
          <cell r="B9" t="str">
            <v>DF: taxa de despesas financeiras</v>
          </cell>
          <cell r="C9">
            <v>0.59</v>
          </cell>
          <cell r="D9">
            <v>1.02</v>
          </cell>
          <cell r="E9">
            <v>0.94</v>
          </cell>
          <cell r="F9">
            <v>1.01</v>
          </cell>
          <cell r="G9">
            <v>0.94</v>
          </cell>
          <cell r="H9">
            <v>0.85</v>
          </cell>
          <cell r="I9">
            <v>1.23</v>
          </cell>
          <cell r="J9">
            <v>1.11</v>
          </cell>
          <cell r="K9">
            <v>0.99</v>
          </cell>
          <cell r="L9">
            <v>1.07</v>
          </cell>
          <cell r="M9">
            <v>1.02</v>
          </cell>
          <cell r="N9">
            <v>0.85</v>
          </cell>
          <cell r="O9">
            <v>1.39</v>
          </cell>
          <cell r="P9">
            <v>1.21</v>
          </cell>
          <cell r="Q9">
            <v>1.17</v>
          </cell>
          <cell r="R9">
            <v>1.11</v>
          </cell>
          <cell r="S9">
            <v>1.33</v>
          </cell>
        </row>
        <row r="10">
          <cell r="B10" t="str">
            <v>L: taxa de lucro/remuneração</v>
          </cell>
          <cell r="C10">
            <v>6.16</v>
          </cell>
          <cell r="D10">
            <v>6.64</v>
          </cell>
          <cell r="E10">
            <v>6.74</v>
          </cell>
          <cell r="F10">
            <v>8</v>
          </cell>
          <cell r="G10">
            <v>7.14</v>
          </cell>
          <cell r="H10">
            <v>3.5</v>
          </cell>
          <cell r="I10">
            <v>7.4</v>
          </cell>
          <cell r="J10">
            <v>7.3</v>
          </cell>
          <cell r="K10">
            <v>8.04</v>
          </cell>
          <cell r="L10">
            <v>8.31</v>
          </cell>
          <cell r="M10">
            <v>8.4</v>
          </cell>
          <cell r="N10">
            <v>5.11</v>
          </cell>
          <cell r="O10">
            <v>8.96</v>
          </cell>
          <cell r="P10">
            <v>8.69</v>
          </cell>
          <cell r="Q10">
            <v>9.4</v>
          </cell>
          <cell r="R10">
            <v>9.51</v>
          </cell>
          <cell r="S10">
            <v>10.43</v>
          </cell>
        </row>
        <row r="11">
          <cell r="B11" t="str">
            <v>PIS</v>
          </cell>
          <cell r="C11">
            <v>0.65</v>
          </cell>
          <cell r="D11">
            <v>0.65</v>
          </cell>
          <cell r="E11">
            <v>0.65</v>
          </cell>
          <cell r="F11">
            <v>0.65</v>
          </cell>
          <cell r="G11">
            <v>0.65</v>
          </cell>
          <cell r="H11">
            <v>0.65</v>
          </cell>
          <cell r="I11">
            <v>0.65</v>
          </cell>
          <cell r="J11">
            <v>0.65</v>
          </cell>
          <cell r="K11">
            <v>0.65</v>
          </cell>
          <cell r="L11">
            <v>0.65</v>
          </cell>
          <cell r="M11">
            <v>0.65</v>
          </cell>
          <cell r="N11">
            <v>0.65</v>
          </cell>
          <cell r="O11">
            <v>0.65</v>
          </cell>
          <cell r="P11">
            <v>0.65</v>
          </cell>
          <cell r="Q11">
            <v>0.65</v>
          </cell>
          <cell r="R11">
            <v>0.65</v>
          </cell>
          <cell r="S11">
            <v>0.65</v>
          </cell>
        </row>
        <row r="12">
          <cell r="B12" t="str">
            <v>COFINS</v>
          </cell>
          <cell r="C12">
            <v>3</v>
          </cell>
          <cell r="D12">
            <v>3</v>
          </cell>
          <cell r="E12">
            <v>3</v>
          </cell>
          <cell r="F12">
            <v>3</v>
          </cell>
          <cell r="G12">
            <v>3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</row>
        <row r="13">
          <cell r="B13" t="str">
            <v>ISSQN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5</v>
          </cell>
          <cell r="P13">
            <v>5</v>
          </cell>
          <cell r="Q13">
            <v>5</v>
          </cell>
          <cell r="R13">
            <v>5</v>
          </cell>
          <cell r="S13">
            <v>5</v>
          </cell>
        </row>
        <row r="17">
          <cell r="B1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Plan4"/>
    </sheetNames>
    <sheetDataSet>
      <sheetData sheetId="1">
        <row r="6">
          <cell r="C6">
            <v>3</v>
          </cell>
          <cell r="D6">
            <v>3.8</v>
          </cell>
          <cell r="E6">
            <v>3.43</v>
          </cell>
          <cell r="F6">
            <v>5.29</v>
          </cell>
          <cell r="G6">
            <v>4</v>
          </cell>
          <cell r="H6">
            <v>1.5</v>
          </cell>
          <cell r="I6">
            <v>4</v>
          </cell>
          <cell r="J6">
            <v>4.01</v>
          </cell>
          <cell r="K6">
            <v>4.93</v>
          </cell>
          <cell r="L6">
            <v>5.92</v>
          </cell>
          <cell r="M6">
            <v>5.52</v>
          </cell>
          <cell r="N6">
            <v>3.45</v>
          </cell>
          <cell r="O6">
            <v>5.5</v>
          </cell>
          <cell r="P6">
            <v>4.67</v>
          </cell>
          <cell r="Q6">
            <v>6.71</v>
          </cell>
          <cell r="R6">
            <v>7.93</v>
          </cell>
          <cell r="S6">
            <v>7.85</v>
          </cell>
          <cell r="T6">
            <v>4.49</v>
          </cell>
        </row>
        <row r="7">
          <cell r="C7">
            <v>0.8</v>
          </cell>
          <cell r="D7">
            <v>0.32</v>
          </cell>
          <cell r="E7">
            <v>0.28</v>
          </cell>
          <cell r="F7">
            <v>0.25</v>
          </cell>
          <cell r="G7">
            <v>0.81</v>
          </cell>
          <cell r="H7">
            <v>0.3</v>
          </cell>
          <cell r="I7">
            <v>0.8</v>
          </cell>
          <cell r="J7">
            <v>0.4</v>
          </cell>
          <cell r="K7">
            <v>0.49</v>
          </cell>
          <cell r="L7">
            <v>0.51</v>
          </cell>
          <cell r="M7">
            <v>1.22</v>
          </cell>
          <cell r="N7">
            <v>0.48</v>
          </cell>
          <cell r="O7">
            <v>1</v>
          </cell>
          <cell r="P7">
            <v>0.74</v>
          </cell>
          <cell r="Q7">
            <v>0.75</v>
          </cell>
          <cell r="R7">
            <v>0.56</v>
          </cell>
          <cell r="S7">
            <v>1.99</v>
          </cell>
          <cell r="T7">
            <v>0.82</v>
          </cell>
        </row>
        <row r="8">
          <cell r="C8">
            <v>0.97</v>
          </cell>
          <cell r="D8">
            <v>0.5</v>
          </cell>
          <cell r="E8">
            <v>1</v>
          </cell>
          <cell r="F8">
            <v>1</v>
          </cell>
          <cell r="G8">
            <v>1.46</v>
          </cell>
          <cell r="H8">
            <v>0.56</v>
          </cell>
          <cell r="I8">
            <v>1.27</v>
          </cell>
          <cell r="J8">
            <v>0.56</v>
          </cell>
          <cell r="K8">
            <v>1.39</v>
          </cell>
          <cell r="L8">
            <v>1.48</v>
          </cell>
          <cell r="M8">
            <v>2.32</v>
          </cell>
          <cell r="N8">
            <v>0.85</v>
          </cell>
          <cell r="O8">
            <v>1.27</v>
          </cell>
          <cell r="P8">
            <v>0.97</v>
          </cell>
          <cell r="Q8">
            <v>1.74</v>
          </cell>
          <cell r="R8">
            <v>1.97</v>
          </cell>
          <cell r="S8">
            <v>3.16</v>
          </cell>
          <cell r="T8">
            <v>0.89</v>
          </cell>
        </row>
        <row r="9">
          <cell r="C9">
            <v>0.59</v>
          </cell>
          <cell r="D9">
            <v>1.02</v>
          </cell>
          <cell r="E9">
            <v>0.94</v>
          </cell>
          <cell r="F9">
            <v>1.01</v>
          </cell>
          <cell r="G9">
            <v>0.94</v>
          </cell>
          <cell r="H9">
            <v>0.85</v>
          </cell>
          <cell r="I9">
            <v>1.23</v>
          </cell>
          <cell r="J9">
            <v>1.11</v>
          </cell>
          <cell r="K9">
            <v>0.99</v>
          </cell>
          <cell r="L9">
            <v>1.07</v>
          </cell>
          <cell r="M9">
            <v>1.02</v>
          </cell>
          <cell r="N9">
            <v>0.85</v>
          </cell>
          <cell r="O9">
            <v>1.39</v>
          </cell>
          <cell r="P9">
            <v>1.21</v>
          </cell>
          <cell r="Q9">
            <v>1.17</v>
          </cell>
          <cell r="R9">
            <v>1.11</v>
          </cell>
          <cell r="S9">
            <v>1.33</v>
          </cell>
          <cell r="T9">
            <v>1.11</v>
          </cell>
        </row>
        <row r="10">
          <cell r="C10">
            <v>6.16</v>
          </cell>
          <cell r="D10">
            <v>6.64</v>
          </cell>
          <cell r="E10">
            <v>6.74</v>
          </cell>
          <cell r="F10">
            <v>8</v>
          </cell>
          <cell r="G10">
            <v>7.14</v>
          </cell>
          <cell r="H10">
            <v>3.5</v>
          </cell>
          <cell r="I10">
            <v>7.4</v>
          </cell>
          <cell r="J10">
            <v>7.3</v>
          </cell>
          <cell r="K10">
            <v>8.04</v>
          </cell>
          <cell r="L10">
            <v>8.31</v>
          </cell>
          <cell r="M10">
            <v>8.4</v>
          </cell>
          <cell r="N10">
            <v>5.11</v>
          </cell>
          <cell r="O10">
            <v>8.96</v>
          </cell>
          <cell r="P10">
            <v>8.69</v>
          </cell>
          <cell r="Q10">
            <v>9.4</v>
          </cell>
          <cell r="R10">
            <v>9.51</v>
          </cell>
          <cell r="S10">
            <v>10.43</v>
          </cell>
          <cell r="T10">
            <v>6.22</v>
          </cell>
        </row>
        <row r="11">
          <cell r="C11">
            <v>0.65</v>
          </cell>
          <cell r="D11">
            <v>0.65</v>
          </cell>
          <cell r="E11">
            <v>0.65</v>
          </cell>
          <cell r="F11">
            <v>0.65</v>
          </cell>
          <cell r="G11">
            <v>0.65</v>
          </cell>
          <cell r="H11">
            <v>0.65</v>
          </cell>
          <cell r="I11">
            <v>0.65</v>
          </cell>
          <cell r="J11">
            <v>0.65</v>
          </cell>
          <cell r="K11">
            <v>0.65</v>
          </cell>
          <cell r="L11">
            <v>0.65</v>
          </cell>
          <cell r="M11">
            <v>0.65</v>
          </cell>
          <cell r="N11">
            <v>0.65</v>
          </cell>
          <cell r="O11">
            <v>0.65</v>
          </cell>
          <cell r="P11">
            <v>0.65</v>
          </cell>
          <cell r="Q11">
            <v>0.65</v>
          </cell>
          <cell r="R11">
            <v>0.65</v>
          </cell>
          <cell r="S11">
            <v>0.65</v>
          </cell>
          <cell r="T11">
            <v>0.65</v>
          </cell>
        </row>
        <row r="12">
          <cell r="C12">
            <v>3</v>
          </cell>
          <cell r="D12">
            <v>3</v>
          </cell>
          <cell r="E12">
            <v>3</v>
          </cell>
          <cell r="F12">
            <v>3</v>
          </cell>
          <cell r="G12">
            <v>3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3</v>
          </cell>
        </row>
        <row r="13"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5</v>
          </cell>
          <cell r="P13">
            <v>5</v>
          </cell>
          <cell r="Q13">
            <v>5</v>
          </cell>
          <cell r="R13">
            <v>5</v>
          </cell>
          <cell r="S13">
            <v>5</v>
          </cell>
          <cell r="T13">
            <v>5</v>
          </cell>
        </row>
        <row r="17">
          <cell r="B17">
            <v>1</v>
          </cell>
        </row>
        <row r="19">
          <cell r="O19">
            <v>20.34</v>
          </cell>
          <cell r="Q19">
            <v>22.12</v>
          </cell>
          <cell r="S19">
            <v>25</v>
          </cell>
        </row>
        <row r="20">
          <cell r="O20">
            <v>19.6</v>
          </cell>
          <cell r="Q20">
            <v>20.97</v>
          </cell>
          <cell r="S20">
            <v>24.23</v>
          </cell>
        </row>
        <row r="21">
          <cell r="O21">
            <v>20.76</v>
          </cell>
          <cell r="Q21">
            <v>24.18</v>
          </cell>
          <cell r="S21">
            <v>26.44</v>
          </cell>
        </row>
        <row r="22">
          <cell r="O22">
            <v>24</v>
          </cell>
          <cell r="Q22">
            <v>25.84</v>
          </cell>
          <cell r="S22">
            <v>27.86</v>
          </cell>
        </row>
        <row r="23">
          <cell r="O23">
            <v>22.8</v>
          </cell>
          <cell r="Q23">
            <v>27.48</v>
          </cell>
          <cell r="S23">
            <v>30.95</v>
          </cell>
        </row>
        <row r="24">
          <cell r="O24">
            <v>11.1</v>
          </cell>
          <cell r="Q24">
            <v>14.02</v>
          </cell>
          <cell r="S24">
            <v>16.8</v>
          </cell>
        </row>
        <row r="26">
          <cell r="B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view="pageBreakPreview" zoomScale="90" zoomScaleNormal="98" zoomScaleSheetLayoutView="90" zoomScalePageLayoutView="0" workbookViewId="0" topLeftCell="A162">
      <selection activeCell="J180" sqref="J180"/>
    </sheetView>
  </sheetViews>
  <sheetFormatPr defaultColWidth="9.140625" defaultRowHeight="12.75"/>
  <cols>
    <col min="1" max="1" width="10.57421875" style="6" customWidth="1"/>
    <col min="2" max="2" width="10.140625" style="6" customWidth="1"/>
    <col min="3" max="3" width="13.140625" style="6" customWidth="1"/>
    <col min="4" max="4" width="62.28125" style="8" customWidth="1"/>
    <col min="5" max="5" width="8.00390625" style="6" customWidth="1"/>
    <col min="6" max="6" width="12.8515625" style="6" bestFit="1" customWidth="1"/>
    <col min="7" max="7" width="17.7109375" style="0" customWidth="1"/>
    <col min="8" max="8" width="15.8515625" style="0" customWidth="1"/>
    <col min="9" max="9" width="13.28125" style="0" customWidth="1"/>
    <col min="10" max="10" width="54.7109375" style="0" customWidth="1"/>
  </cols>
  <sheetData>
    <row r="1" spans="1:9" ht="110.25" customHeight="1" thickBot="1">
      <c r="A1" s="244"/>
      <c r="B1" s="245"/>
      <c r="C1" s="245"/>
      <c r="D1" s="245"/>
      <c r="E1" s="245"/>
      <c r="F1" s="245"/>
      <c r="G1" s="245"/>
      <c r="H1" s="245"/>
      <c r="I1" s="246"/>
    </row>
    <row r="2" spans="1:9" ht="18" customHeight="1" thickBot="1">
      <c r="A2" s="247" t="s">
        <v>210</v>
      </c>
      <c r="B2" s="248"/>
      <c r="C2" s="248"/>
      <c r="D2" s="248"/>
      <c r="E2" s="248"/>
      <c r="F2" s="248"/>
      <c r="G2" s="248"/>
      <c r="H2" s="248"/>
      <c r="I2" s="249"/>
    </row>
    <row r="3" spans="1:3" ht="10.5" customHeight="1" thickBot="1">
      <c r="A3" s="7"/>
      <c r="B3" s="7"/>
      <c r="C3" s="7"/>
    </row>
    <row r="4" spans="1:9" ht="44.25" customHeight="1" thickBot="1">
      <c r="A4" s="12" t="s">
        <v>122</v>
      </c>
      <c r="B4" s="235" t="s">
        <v>388</v>
      </c>
      <c r="C4" s="235"/>
      <c r="D4" s="235"/>
      <c r="E4" s="235"/>
      <c r="F4" s="235"/>
      <c r="G4" s="235"/>
      <c r="H4" s="236"/>
      <c r="I4" s="74" t="s">
        <v>133</v>
      </c>
    </row>
    <row r="5" spans="1:9" ht="12.75">
      <c r="A5" s="13" t="s">
        <v>123</v>
      </c>
      <c r="B5" s="237" t="s">
        <v>215</v>
      </c>
      <c r="C5" s="237"/>
      <c r="D5" s="237"/>
      <c r="E5" s="237"/>
      <c r="F5" s="237"/>
      <c r="G5" s="237"/>
      <c r="H5" s="238"/>
      <c r="I5" s="253">
        <v>0.25</v>
      </c>
    </row>
    <row r="6" spans="1:9" ht="13.5" thickBot="1">
      <c r="A6" s="14" t="s">
        <v>124</v>
      </c>
      <c r="B6" s="239" t="s">
        <v>235</v>
      </c>
      <c r="C6" s="239"/>
      <c r="D6" s="239"/>
      <c r="E6" s="239"/>
      <c r="F6" s="239"/>
      <c r="G6" s="239"/>
      <c r="H6" s="240"/>
      <c r="I6" s="254"/>
    </row>
    <row r="7" spans="1:9" ht="13.5" thickBot="1">
      <c r="A7" s="14" t="s">
        <v>394</v>
      </c>
      <c r="B7" s="154"/>
      <c r="C7" s="154"/>
      <c r="D7" s="154"/>
      <c r="E7" s="154"/>
      <c r="F7" s="154"/>
      <c r="G7" s="154"/>
      <c r="H7" s="154"/>
      <c r="I7" s="155"/>
    </row>
    <row r="8" spans="1:9" ht="15.75" thickBot="1">
      <c r="A8" s="250" t="s">
        <v>0</v>
      </c>
      <c r="B8" s="251"/>
      <c r="C8" s="251"/>
      <c r="D8" s="251"/>
      <c r="E8" s="251"/>
      <c r="F8" s="251"/>
      <c r="G8" s="251"/>
      <c r="H8" s="251"/>
      <c r="I8" s="252"/>
    </row>
    <row r="9" ht="5.25" customHeight="1"/>
    <row r="10" spans="1:9" ht="12.75">
      <c r="A10" s="2" t="s">
        <v>1</v>
      </c>
      <c r="B10" s="2" t="s">
        <v>134</v>
      </c>
      <c r="C10" s="2" t="s">
        <v>135</v>
      </c>
      <c r="D10" s="9" t="s">
        <v>2</v>
      </c>
      <c r="E10" s="2" t="s">
        <v>3</v>
      </c>
      <c r="F10" s="2" t="s">
        <v>4</v>
      </c>
      <c r="G10" s="3" t="s">
        <v>137</v>
      </c>
      <c r="H10" s="3" t="s">
        <v>138</v>
      </c>
      <c r="I10" s="4" t="s">
        <v>5</v>
      </c>
    </row>
    <row r="11" spans="1:9" ht="7.5" customHeight="1" thickBot="1">
      <c r="A11" s="53"/>
      <c r="B11" s="53"/>
      <c r="C11" s="53"/>
      <c r="D11" s="54"/>
      <c r="E11" s="53"/>
      <c r="F11" s="53"/>
      <c r="G11" s="36"/>
      <c r="H11" s="36"/>
      <c r="I11" s="36"/>
    </row>
    <row r="12" spans="1:9" ht="13.5" thickBot="1">
      <c r="A12" s="10" t="s">
        <v>7</v>
      </c>
      <c r="B12" s="22"/>
      <c r="C12" s="22"/>
      <c r="D12" s="226" t="s">
        <v>6</v>
      </c>
      <c r="E12" s="227"/>
      <c r="F12" s="227"/>
      <c r="G12" s="227"/>
      <c r="H12" s="227"/>
      <c r="I12" s="228"/>
    </row>
    <row r="13" spans="1:9" ht="12.75">
      <c r="A13" s="25" t="s">
        <v>12</v>
      </c>
      <c r="B13" s="75" t="s">
        <v>176</v>
      </c>
      <c r="C13" s="75" t="s">
        <v>139</v>
      </c>
      <c r="D13" s="26" t="s">
        <v>11</v>
      </c>
      <c r="E13" s="75" t="s">
        <v>8</v>
      </c>
      <c r="F13" s="55">
        <v>4.5</v>
      </c>
      <c r="G13" s="58">
        <v>308.96</v>
      </c>
      <c r="H13" s="195">
        <f>ROUND(G13*1.25,2)</f>
        <v>386.2</v>
      </c>
      <c r="I13" s="59">
        <f>H13*F13</f>
        <v>1737.8999999999999</v>
      </c>
    </row>
    <row r="14" spans="1:9" ht="12.75">
      <c r="A14" s="25" t="s">
        <v>146</v>
      </c>
      <c r="B14" s="76" t="s">
        <v>140</v>
      </c>
      <c r="C14" s="76" t="s">
        <v>136</v>
      </c>
      <c r="D14" s="27" t="s">
        <v>10</v>
      </c>
      <c r="E14" s="24" t="s">
        <v>8</v>
      </c>
      <c r="F14" s="57">
        <v>142.27</v>
      </c>
      <c r="G14" s="156">
        <v>6.6</v>
      </c>
      <c r="H14" s="195">
        <f>ROUND(G14*1.25,2)</f>
        <v>8.25</v>
      </c>
      <c r="I14" s="59">
        <f>H14*F14</f>
        <v>1173.7275000000002</v>
      </c>
    </row>
    <row r="15" spans="1:9" ht="12.75">
      <c r="A15" s="223" t="s">
        <v>17</v>
      </c>
      <c r="B15" s="223"/>
      <c r="C15" s="223"/>
      <c r="D15" s="223"/>
      <c r="E15" s="223"/>
      <c r="F15" s="223"/>
      <c r="G15" s="223"/>
      <c r="H15" s="19"/>
      <c r="I15" s="1">
        <f>SUM(I13:I14)</f>
        <v>2911.6275</v>
      </c>
    </row>
    <row r="16" spans="1:9" ht="9" customHeight="1" thickBot="1">
      <c r="A16" s="53"/>
      <c r="B16" s="53"/>
      <c r="C16" s="53"/>
      <c r="D16" s="54"/>
      <c r="E16" s="53"/>
      <c r="F16" s="53"/>
      <c r="G16" s="36"/>
      <c r="H16" s="36"/>
      <c r="I16" s="36"/>
    </row>
    <row r="17" spans="1:9" ht="13.5" thickBot="1">
      <c r="A17" s="10" t="s">
        <v>22</v>
      </c>
      <c r="B17" s="22"/>
      <c r="C17" s="22"/>
      <c r="D17" s="226" t="s">
        <v>21</v>
      </c>
      <c r="E17" s="227"/>
      <c r="F17" s="227"/>
      <c r="G17" s="227"/>
      <c r="H17" s="227"/>
      <c r="I17" s="228"/>
    </row>
    <row r="18" spans="1:9" ht="12.75">
      <c r="A18" s="25" t="s">
        <v>23</v>
      </c>
      <c r="B18" s="75" t="s">
        <v>147</v>
      </c>
      <c r="C18" s="44" t="s">
        <v>139</v>
      </c>
      <c r="D18" s="94" t="s">
        <v>153</v>
      </c>
      <c r="E18" s="49" t="s">
        <v>19</v>
      </c>
      <c r="F18" s="55">
        <v>35.57</v>
      </c>
      <c r="G18" s="56">
        <v>60.61</v>
      </c>
      <c r="H18" s="194">
        <f>ROUND(G18*1.25,2)</f>
        <v>75.76</v>
      </c>
      <c r="I18" s="56">
        <f>F18*H18</f>
        <v>2694.7832000000003</v>
      </c>
    </row>
    <row r="19" spans="1:9" ht="25.5">
      <c r="A19" s="24" t="s">
        <v>24</v>
      </c>
      <c r="B19" s="24">
        <v>96522</v>
      </c>
      <c r="C19" s="34" t="s">
        <v>141</v>
      </c>
      <c r="D19" s="35" t="s">
        <v>154</v>
      </c>
      <c r="E19" s="28" t="s">
        <v>19</v>
      </c>
      <c r="F19" s="55">
        <v>8.14</v>
      </c>
      <c r="G19" s="59">
        <v>131.36</v>
      </c>
      <c r="H19" s="56">
        <f>ROUND(G19*1.25,2)</f>
        <v>164.2</v>
      </c>
      <c r="I19" s="56">
        <f>F19*H19</f>
        <v>1336.588</v>
      </c>
    </row>
    <row r="20" spans="1:9" ht="12.75">
      <c r="A20" s="24" t="s">
        <v>25</v>
      </c>
      <c r="B20" s="24">
        <v>101616</v>
      </c>
      <c r="C20" s="24" t="s">
        <v>141</v>
      </c>
      <c r="D20" s="26" t="s">
        <v>20</v>
      </c>
      <c r="E20" s="24" t="s">
        <v>34</v>
      </c>
      <c r="F20" s="55">
        <f>4*0.6*0.6+10*0.8*0.8+10*0.6*0.6</f>
        <v>11.44</v>
      </c>
      <c r="G20" s="59">
        <v>5.41</v>
      </c>
      <c r="H20" s="56">
        <f>ROUND(G20*1.25,2)</f>
        <v>6.76</v>
      </c>
      <c r="I20" s="56">
        <f>F20*H20</f>
        <v>77.33439999999999</v>
      </c>
    </row>
    <row r="21" spans="1:9" ht="12.75">
      <c r="A21" s="24" t="s">
        <v>26</v>
      </c>
      <c r="B21" s="77" t="s">
        <v>148</v>
      </c>
      <c r="C21" s="24" t="s">
        <v>139</v>
      </c>
      <c r="D21" s="27" t="s">
        <v>18</v>
      </c>
      <c r="E21" s="24" t="s">
        <v>19</v>
      </c>
      <c r="F21" s="55">
        <f>F18</f>
        <v>35.57</v>
      </c>
      <c r="G21" s="59">
        <v>8.72</v>
      </c>
      <c r="H21" s="56">
        <f>ROUND(G21*1.25,2)</f>
        <v>10.9</v>
      </c>
      <c r="I21" s="56">
        <f>F21*H21</f>
        <v>387.713</v>
      </c>
    </row>
    <row r="22" spans="1:9" ht="12.75">
      <c r="A22" s="223" t="s">
        <v>35</v>
      </c>
      <c r="B22" s="223"/>
      <c r="C22" s="223"/>
      <c r="D22" s="223"/>
      <c r="E22" s="223"/>
      <c r="F22" s="223"/>
      <c r="G22" s="223"/>
      <c r="H22" s="19"/>
      <c r="I22" s="1">
        <f>SUM(I18:I21)</f>
        <v>4496.4186</v>
      </c>
    </row>
    <row r="23" spans="1:9" ht="13.5" thickBot="1">
      <c r="A23" s="53"/>
      <c r="B23" s="53"/>
      <c r="C23" s="53"/>
      <c r="D23" s="54"/>
      <c r="E23" s="53"/>
      <c r="F23" s="53"/>
      <c r="G23" s="36"/>
      <c r="H23" s="36"/>
      <c r="I23" s="36"/>
    </row>
    <row r="24" spans="1:9" ht="13.5" thickBot="1">
      <c r="A24" s="10" t="s">
        <v>29</v>
      </c>
      <c r="B24" s="22"/>
      <c r="C24" s="22"/>
      <c r="D24" s="226" t="s">
        <v>236</v>
      </c>
      <c r="E24" s="227"/>
      <c r="F24" s="227"/>
      <c r="G24" s="227"/>
      <c r="H24" s="227"/>
      <c r="I24" s="228"/>
    </row>
    <row r="25" spans="1:9" ht="12.75">
      <c r="A25" s="25" t="s">
        <v>37</v>
      </c>
      <c r="B25" s="25"/>
      <c r="C25" s="25"/>
      <c r="D25" s="65" t="s">
        <v>30</v>
      </c>
      <c r="E25" s="25"/>
      <c r="F25" s="25"/>
      <c r="G25" s="29"/>
      <c r="H25" s="29"/>
      <c r="I25" s="29"/>
    </row>
    <row r="26" spans="1:9" ht="25.5">
      <c r="A26" s="24" t="s">
        <v>38</v>
      </c>
      <c r="B26" s="24">
        <v>96617</v>
      </c>
      <c r="C26" s="89" t="s">
        <v>141</v>
      </c>
      <c r="D26" s="66" t="s">
        <v>155</v>
      </c>
      <c r="E26" s="64" t="s">
        <v>34</v>
      </c>
      <c r="F26" s="82">
        <f>4*0.6*0.6+10*0.8*0.8+10*0.6*0.6</f>
        <v>11.44</v>
      </c>
      <c r="G26" s="58">
        <v>18.47</v>
      </c>
      <c r="H26" s="58">
        <f>ROUND(G26*1.25,2)</f>
        <v>23.09</v>
      </c>
      <c r="I26" s="58">
        <f>F26*H26</f>
        <v>264.14959999999996</v>
      </c>
    </row>
    <row r="27" spans="1:9" ht="38.25">
      <c r="A27" s="24" t="s">
        <v>27</v>
      </c>
      <c r="B27" s="24">
        <v>104487</v>
      </c>
      <c r="C27" s="24" t="s">
        <v>141</v>
      </c>
      <c r="D27" s="157" t="s">
        <v>31</v>
      </c>
      <c r="E27" s="24" t="s">
        <v>19</v>
      </c>
      <c r="F27" s="82">
        <v>6.86</v>
      </c>
      <c r="G27" s="59">
        <v>2586.01</v>
      </c>
      <c r="H27" s="58">
        <f>ROUND(G27*1.25,2)</f>
        <v>3232.51</v>
      </c>
      <c r="I27" s="58">
        <f>F27*H27</f>
        <v>22175.018600000003</v>
      </c>
    </row>
    <row r="28" spans="1:9" ht="12.75">
      <c r="A28" s="24" t="s">
        <v>39</v>
      </c>
      <c r="B28" s="24"/>
      <c r="C28" s="24"/>
      <c r="D28" s="15" t="s">
        <v>32</v>
      </c>
      <c r="E28" s="24"/>
      <c r="F28" s="82"/>
      <c r="G28" s="30"/>
      <c r="H28" s="58"/>
      <c r="I28" s="58"/>
    </row>
    <row r="29" spans="1:10" ht="24.75" customHeight="1">
      <c r="A29" s="24" t="s">
        <v>40</v>
      </c>
      <c r="B29" s="24">
        <v>96617</v>
      </c>
      <c r="C29" s="24" t="s">
        <v>141</v>
      </c>
      <c r="D29" s="61" t="s">
        <v>33</v>
      </c>
      <c r="E29" s="60" t="s">
        <v>34</v>
      </c>
      <c r="F29" s="148">
        <f>81.3*0.2</f>
        <v>16.26</v>
      </c>
      <c r="G29" s="58">
        <v>18.47</v>
      </c>
      <c r="H29" s="58">
        <f>ROUND(G29*1.25,2)</f>
        <v>23.09</v>
      </c>
      <c r="I29" s="58">
        <f>F29*H29</f>
        <v>375.44340000000005</v>
      </c>
      <c r="J29" s="41"/>
    </row>
    <row r="30" spans="1:10" ht="38.25">
      <c r="A30" s="24" t="s">
        <v>28</v>
      </c>
      <c r="B30" s="53">
        <v>104487</v>
      </c>
      <c r="C30" s="24" t="s">
        <v>141</v>
      </c>
      <c r="D30" s="84" t="s">
        <v>31</v>
      </c>
      <c r="E30" s="24" t="s">
        <v>19</v>
      </c>
      <c r="F30" s="82">
        <v>2.44</v>
      </c>
      <c r="G30" s="59">
        <v>2586.01</v>
      </c>
      <c r="H30" s="58">
        <f>ROUND(G30*1.25,2)</f>
        <v>3232.51</v>
      </c>
      <c r="I30" s="58">
        <f>F30*H30</f>
        <v>7887.3244</v>
      </c>
      <c r="J30" s="40"/>
    </row>
    <row r="31" spans="1:9" ht="12.75">
      <c r="A31" s="223" t="s">
        <v>36</v>
      </c>
      <c r="B31" s="223"/>
      <c r="C31" s="223"/>
      <c r="D31" s="223"/>
      <c r="E31" s="223"/>
      <c r="F31" s="223"/>
      <c r="G31" s="223"/>
      <c r="H31" s="19"/>
      <c r="I31" s="1">
        <f>SUM(I26:I27,I29:I30)</f>
        <v>30701.936000000005</v>
      </c>
    </row>
    <row r="32" spans="1:9" ht="13.5" thickBot="1">
      <c r="A32" s="53"/>
      <c r="B32" s="53"/>
      <c r="C32" s="53"/>
      <c r="D32" s="54"/>
      <c r="E32" s="53"/>
      <c r="F32" s="53"/>
      <c r="G32" s="36"/>
      <c r="H32" s="36"/>
      <c r="I32" s="36"/>
    </row>
    <row r="33" spans="1:10" ht="13.5" thickBot="1">
      <c r="A33" s="10" t="s">
        <v>44</v>
      </c>
      <c r="B33" s="22"/>
      <c r="C33" s="22"/>
      <c r="D33" s="226" t="s">
        <v>233</v>
      </c>
      <c r="E33" s="227"/>
      <c r="F33" s="227"/>
      <c r="G33" s="227"/>
      <c r="H33" s="227"/>
      <c r="I33" s="228"/>
      <c r="J33" s="41"/>
    </row>
    <row r="34" spans="1:10" ht="12.75">
      <c r="A34" s="25" t="s">
        <v>49</v>
      </c>
      <c r="B34" s="25"/>
      <c r="C34" s="25"/>
      <c r="D34" s="16" t="s">
        <v>45</v>
      </c>
      <c r="E34" s="25"/>
      <c r="F34" s="25"/>
      <c r="G34" s="29"/>
      <c r="H34" s="29"/>
      <c r="I34" s="29"/>
      <c r="J34" s="41"/>
    </row>
    <row r="35" spans="1:10" ht="38.25">
      <c r="A35" s="24" t="s">
        <v>41</v>
      </c>
      <c r="B35" s="24">
        <v>104487</v>
      </c>
      <c r="C35" s="24" t="s">
        <v>141</v>
      </c>
      <c r="D35" s="84" t="s">
        <v>31</v>
      </c>
      <c r="E35" s="24" t="s">
        <v>19</v>
      </c>
      <c r="F35" s="57">
        <v>3.76</v>
      </c>
      <c r="G35" s="59">
        <v>2586.01</v>
      </c>
      <c r="H35" s="59">
        <f>ROUND(G35*1.25,2)</f>
        <v>3232.51</v>
      </c>
      <c r="I35" s="59">
        <f>F35*H35</f>
        <v>12154.2376</v>
      </c>
      <c r="J35" s="120"/>
    </row>
    <row r="36" spans="1:10" ht="25.5">
      <c r="A36" s="24" t="s">
        <v>50</v>
      </c>
      <c r="B36" s="24"/>
      <c r="C36" s="24"/>
      <c r="D36" s="15" t="s">
        <v>46</v>
      </c>
      <c r="E36" s="24"/>
      <c r="F36" s="57"/>
      <c r="G36" s="30"/>
      <c r="H36" s="59"/>
      <c r="I36" s="59"/>
      <c r="J36" s="41"/>
    </row>
    <row r="37" spans="1:10" ht="38.25">
      <c r="A37" s="24" t="s">
        <v>42</v>
      </c>
      <c r="B37" s="24">
        <v>104487</v>
      </c>
      <c r="C37" s="24" t="s">
        <v>141</v>
      </c>
      <c r="D37" s="84" t="s">
        <v>267</v>
      </c>
      <c r="E37" s="77" t="s">
        <v>19</v>
      </c>
      <c r="F37" s="57">
        <v>1.57</v>
      </c>
      <c r="G37" s="59">
        <v>2586.01</v>
      </c>
      <c r="H37" s="59">
        <f>ROUND(G37*1.25,2)</f>
        <v>3232.51</v>
      </c>
      <c r="I37" s="59">
        <f>H37*F37</f>
        <v>5075.0407000000005</v>
      </c>
      <c r="J37" s="40"/>
    </row>
    <row r="38" spans="1:10" ht="23.25" customHeight="1">
      <c r="A38" s="24" t="s">
        <v>51</v>
      </c>
      <c r="B38" s="24"/>
      <c r="C38" s="24"/>
      <c r="D38" s="15" t="s">
        <v>47</v>
      </c>
      <c r="E38" s="24"/>
      <c r="F38" s="57"/>
      <c r="G38" s="30"/>
      <c r="H38" s="59"/>
      <c r="I38" s="59"/>
      <c r="J38" s="41"/>
    </row>
    <row r="39" spans="1:10" ht="31.5" customHeight="1">
      <c r="A39" s="24" t="s">
        <v>52</v>
      </c>
      <c r="B39" s="24">
        <v>93186</v>
      </c>
      <c r="C39" s="24" t="s">
        <v>141</v>
      </c>
      <c r="D39" s="83" t="s">
        <v>177</v>
      </c>
      <c r="E39" s="77" t="s">
        <v>69</v>
      </c>
      <c r="F39" s="57">
        <v>2.4</v>
      </c>
      <c r="G39" s="59">
        <v>116.03</v>
      </c>
      <c r="H39" s="59">
        <f>ROUND(G39*1.25,2)</f>
        <v>145.04</v>
      </c>
      <c r="I39" s="59">
        <f>F39*H39</f>
        <v>348.09599999999995</v>
      </c>
      <c r="J39" s="40"/>
    </row>
    <row r="40" spans="1:10" ht="19.5" customHeight="1">
      <c r="A40" s="24" t="s">
        <v>53</v>
      </c>
      <c r="B40" s="24"/>
      <c r="C40" s="24"/>
      <c r="D40" s="15" t="s">
        <v>48</v>
      </c>
      <c r="E40" s="24"/>
      <c r="F40" s="57"/>
      <c r="G40" s="30"/>
      <c r="H40" s="59"/>
      <c r="I40" s="59"/>
      <c r="J40" s="41"/>
    </row>
    <row r="41" spans="1:10" ht="25.5">
      <c r="A41" s="24" t="s">
        <v>43</v>
      </c>
      <c r="B41" s="77" t="s">
        <v>268</v>
      </c>
      <c r="C41" s="24" t="s">
        <v>139</v>
      </c>
      <c r="D41" s="84" t="s">
        <v>178</v>
      </c>
      <c r="E41" s="77" t="s">
        <v>34</v>
      </c>
      <c r="F41" s="57">
        <v>71.72</v>
      </c>
      <c r="G41" s="144">
        <v>162.46</v>
      </c>
      <c r="H41" s="59">
        <v>203.08</v>
      </c>
      <c r="I41" s="59">
        <f>F41*H41</f>
        <v>14564.8976</v>
      </c>
      <c r="J41" s="40"/>
    </row>
    <row r="42" spans="1:10" ht="38.25">
      <c r="A42" s="24" t="s">
        <v>269</v>
      </c>
      <c r="B42" s="77" t="s">
        <v>271</v>
      </c>
      <c r="C42" s="24" t="s">
        <v>139</v>
      </c>
      <c r="D42" s="84" t="s">
        <v>272</v>
      </c>
      <c r="E42" s="77" t="s">
        <v>34</v>
      </c>
      <c r="F42" s="57">
        <v>71.72</v>
      </c>
      <c r="G42" s="144">
        <v>16.35</v>
      </c>
      <c r="H42" s="59">
        <v>20.44</v>
      </c>
      <c r="I42" s="59">
        <f>F42*H42</f>
        <v>1465.9568000000002</v>
      </c>
      <c r="J42" s="40"/>
    </row>
    <row r="43" spans="1:10" ht="38.25">
      <c r="A43" s="24" t="s">
        <v>270</v>
      </c>
      <c r="B43" s="77" t="s">
        <v>273</v>
      </c>
      <c r="C43" s="24" t="s">
        <v>139</v>
      </c>
      <c r="D43" s="84" t="s">
        <v>274</v>
      </c>
      <c r="E43" s="77" t="s">
        <v>34</v>
      </c>
      <c r="F43" s="57">
        <v>71.72</v>
      </c>
      <c r="G43" s="144">
        <v>34.25</v>
      </c>
      <c r="H43" s="59">
        <v>42.81</v>
      </c>
      <c r="I43" s="59">
        <f>F43*H43</f>
        <v>3070.3332</v>
      </c>
      <c r="J43" s="40"/>
    </row>
    <row r="44" spans="1:10" ht="12.75">
      <c r="A44" s="223" t="s">
        <v>54</v>
      </c>
      <c r="B44" s="223"/>
      <c r="C44" s="223"/>
      <c r="D44" s="223"/>
      <c r="E44" s="223"/>
      <c r="F44" s="223"/>
      <c r="G44" s="223"/>
      <c r="H44" s="19"/>
      <c r="I44" s="1">
        <f>SUM(I35,I37,I39,I41+I42+I43)</f>
        <v>36678.5619</v>
      </c>
      <c r="J44" s="41"/>
    </row>
    <row r="45" spans="1:9" ht="13.5" thickBot="1">
      <c r="A45" s="53"/>
      <c r="B45" s="53"/>
      <c r="C45" s="53"/>
      <c r="D45" s="54"/>
      <c r="E45" s="53"/>
      <c r="F45" s="53"/>
      <c r="G45" s="36"/>
      <c r="H45" s="36"/>
      <c r="I45" s="36"/>
    </row>
    <row r="46" spans="1:9" ht="13.5" thickBot="1">
      <c r="A46" s="10" t="s">
        <v>56</v>
      </c>
      <c r="B46" s="22"/>
      <c r="C46" s="22"/>
      <c r="D46" s="226" t="s">
        <v>55</v>
      </c>
      <c r="E46" s="227"/>
      <c r="F46" s="227"/>
      <c r="G46" s="227"/>
      <c r="H46" s="227"/>
      <c r="I46" s="228"/>
    </row>
    <row r="47" spans="1:9" ht="12.75">
      <c r="A47" s="77" t="s">
        <v>58</v>
      </c>
      <c r="B47" s="24"/>
      <c r="C47" s="24"/>
      <c r="D47" s="15" t="s">
        <v>57</v>
      </c>
      <c r="E47" s="24"/>
      <c r="F47" s="24"/>
      <c r="G47" s="30" t="s">
        <v>149</v>
      </c>
      <c r="H47" s="30"/>
      <c r="I47" s="30"/>
    </row>
    <row r="48" spans="1:10" ht="41.25" customHeight="1">
      <c r="A48" s="77" t="s">
        <v>59</v>
      </c>
      <c r="B48" s="24">
        <v>89290</v>
      </c>
      <c r="C48" s="77" t="s">
        <v>141</v>
      </c>
      <c r="D48" s="141" t="s">
        <v>220</v>
      </c>
      <c r="E48" s="77" t="s">
        <v>34</v>
      </c>
      <c r="F48" s="57">
        <f>37.3*4.2</f>
        <v>156.66</v>
      </c>
      <c r="G48" s="59">
        <v>81.06</v>
      </c>
      <c r="H48" s="59">
        <f>ROUND(G48*1.25,2)</f>
        <v>101.33</v>
      </c>
      <c r="I48" s="59">
        <f>(F48*H48)</f>
        <v>15874.3578</v>
      </c>
      <c r="J48" s="40"/>
    </row>
    <row r="49" spans="1:10" ht="21.75" customHeight="1">
      <c r="A49" s="77" t="s">
        <v>231</v>
      </c>
      <c r="B49" s="77" t="s">
        <v>238</v>
      </c>
      <c r="C49" s="77" t="s">
        <v>139</v>
      </c>
      <c r="D49" s="141" t="s">
        <v>237</v>
      </c>
      <c r="E49" s="77" t="s">
        <v>34</v>
      </c>
      <c r="F49" s="57">
        <v>3.69</v>
      </c>
      <c r="G49" s="59">
        <v>92.58</v>
      </c>
      <c r="H49" s="59">
        <f>ROUND(G49*1.25,2)</f>
        <v>115.73</v>
      </c>
      <c r="I49" s="59">
        <f>(F49*H49)</f>
        <v>427.0437</v>
      </c>
      <c r="J49" s="40"/>
    </row>
    <row r="50" spans="1:10" ht="12.75">
      <c r="A50" s="223" t="s">
        <v>60</v>
      </c>
      <c r="B50" s="223"/>
      <c r="C50" s="223"/>
      <c r="D50" s="223"/>
      <c r="E50" s="223"/>
      <c r="F50" s="223"/>
      <c r="G50" s="223"/>
      <c r="H50" s="19"/>
      <c r="I50" s="1">
        <f>SUM(I48:I49)</f>
        <v>16301.4015</v>
      </c>
      <c r="J50" s="32"/>
    </row>
    <row r="51" spans="1:9" ht="13.5" thickBot="1">
      <c r="A51" s="53"/>
      <c r="B51" s="53"/>
      <c r="C51" s="53"/>
      <c r="D51" s="62"/>
      <c r="E51" s="53"/>
      <c r="F51" s="53"/>
      <c r="G51" s="36"/>
      <c r="H51" s="36"/>
      <c r="I51" s="36"/>
    </row>
    <row r="52" spans="1:9" ht="13.5" thickBot="1">
      <c r="A52" s="10" t="s">
        <v>61</v>
      </c>
      <c r="B52" s="22"/>
      <c r="C52" s="22"/>
      <c r="D52" s="229" t="s">
        <v>62</v>
      </c>
      <c r="E52" s="230"/>
      <c r="F52" s="230"/>
      <c r="G52" s="230"/>
      <c r="H52" s="230"/>
      <c r="I52" s="231"/>
    </row>
    <row r="53" spans="1:9" ht="12.75">
      <c r="A53" s="77" t="s">
        <v>221</v>
      </c>
      <c r="B53" s="24"/>
      <c r="C53" s="24"/>
      <c r="D53" s="15" t="s">
        <v>239</v>
      </c>
      <c r="E53" s="24"/>
      <c r="F53" s="24"/>
      <c r="G53" s="29"/>
      <c r="H53" s="29"/>
      <c r="I53" s="29"/>
    </row>
    <row r="54" spans="1:10" ht="63.75" customHeight="1">
      <c r="A54" s="77" t="s">
        <v>222</v>
      </c>
      <c r="B54" s="77" t="s">
        <v>240</v>
      </c>
      <c r="C54" s="78" t="s">
        <v>241</v>
      </c>
      <c r="D54" s="149" t="s">
        <v>242</v>
      </c>
      <c r="E54" s="77" t="s">
        <v>9</v>
      </c>
      <c r="F54" s="57">
        <v>2</v>
      </c>
      <c r="G54" s="59">
        <v>1800</v>
      </c>
      <c r="H54" s="59">
        <f>ROUND(G54*1.25,2)</f>
        <v>2250</v>
      </c>
      <c r="I54" s="59">
        <f>F54*H54</f>
        <v>4500</v>
      </c>
      <c r="J54" s="40"/>
    </row>
    <row r="55" spans="1:9" ht="33" customHeight="1">
      <c r="A55" s="77" t="s">
        <v>223</v>
      </c>
      <c r="B55" s="24"/>
      <c r="C55" s="24"/>
      <c r="D55" s="15" t="s">
        <v>131</v>
      </c>
      <c r="E55" s="24"/>
      <c r="F55" s="24"/>
      <c r="G55" s="30"/>
      <c r="H55" s="59"/>
      <c r="I55" s="59"/>
    </row>
    <row r="56" spans="1:10" ht="45" customHeight="1">
      <c r="A56" s="77" t="s">
        <v>224</v>
      </c>
      <c r="B56" s="77">
        <v>94559</v>
      </c>
      <c r="C56" s="77" t="s">
        <v>141</v>
      </c>
      <c r="D56" s="86" t="s">
        <v>243</v>
      </c>
      <c r="E56" s="77" t="s">
        <v>34</v>
      </c>
      <c r="F56" s="24">
        <f>4*1.8*0.6</f>
        <v>4.32</v>
      </c>
      <c r="G56" s="59">
        <v>802.13</v>
      </c>
      <c r="H56" s="59">
        <f>ROUND(G56*1.25,2)</f>
        <v>1002.66</v>
      </c>
      <c r="I56" s="59">
        <f>F56*H56</f>
        <v>4331.4912</v>
      </c>
      <c r="J56" s="42"/>
    </row>
    <row r="57" spans="1:10" ht="12.75">
      <c r="A57" s="77" t="s">
        <v>261</v>
      </c>
      <c r="B57" s="24">
        <v>102152</v>
      </c>
      <c r="C57" s="24" t="s">
        <v>141</v>
      </c>
      <c r="D57" s="86" t="s">
        <v>209</v>
      </c>
      <c r="E57" s="24" t="s">
        <v>34</v>
      </c>
      <c r="F57" s="24">
        <f>4*1.8*0.6</f>
        <v>4.32</v>
      </c>
      <c r="G57" s="59">
        <v>140.16</v>
      </c>
      <c r="H57" s="59">
        <f>ROUND(G57*1.25,2)</f>
        <v>175.2</v>
      </c>
      <c r="I57" s="59">
        <f>F57*H57</f>
        <v>756.864</v>
      </c>
      <c r="J57" s="40"/>
    </row>
    <row r="58" spans="1:9" ht="12.75">
      <c r="A58" s="223" t="s">
        <v>63</v>
      </c>
      <c r="B58" s="223"/>
      <c r="C58" s="223"/>
      <c r="D58" s="223"/>
      <c r="E58" s="223"/>
      <c r="F58" s="223"/>
      <c r="G58" s="223"/>
      <c r="H58" s="19"/>
      <c r="I58" s="1">
        <f>SUM(I54:I57)</f>
        <v>9588.3552</v>
      </c>
    </row>
    <row r="59" spans="1:9" ht="13.5" thickBot="1">
      <c r="A59" s="53"/>
      <c r="B59" s="53"/>
      <c r="C59" s="53"/>
      <c r="D59" s="54"/>
      <c r="E59" s="53"/>
      <c r="F59" s="53"/>
      <c r="G59" s="36"/>
      <c r="H59" s="36"/>
      <c r="I59" s="36"/>
    </row>
    <row r="60" spans="1:9" ht="13.5" thickBot="1">
      <c r="A60" s="10" t="s">
        <v>64</v>
      </c>
      <c r="B60" s="22"/>
      <c r="C60" s="22"/>
      <c r="D60" s="232" t="s">
        <v>188</v>
      </c>
      <c r="E60" s="227"/>
      <c r="F60" s="227"/>
      <c r="G60" s="227"/>
      <c r="H60" s="227"/>
      <c r="I60" s="228"/>
    </row>
    <row r="61" spans="1:10" ht="35.25" customHeight="1">
      <c r="A61" s="25" t="s">
        <v>65</v>
      </c>
      <c r="B61" s="75">
        <v>92568</v>
      </c>
      <c r="C61" s="87" t="s">
        <v>141</v>
      </c>
      <c r="D61" s="79" t="s">
        <v>244</v>
      </c>
      <c r="E61" s="150" t="s">
        <v>34</v>
      </c>
      <c r="F61" s="151">
        <v>195.92</v>
      </c>
      <c r="G61" s="144">
        <v>131.64</v>
      </c>
      <c r="H61" s="59">
        <v>164.55</v>
      </c>
      <c r="I61" s="59">
        <f aca="true" t="shared" si="0" ref="I61:I67">F61*H61</f>
        <v>32238.636</v>
      </c>
      <c r="J61" s="40"/>
    </row>
    <row r="62" spans="1:10" ht="49.5" customHeight="1">
      <c r="A62" s="25" t="s">
        <v>66</v>
      </c>
      <c r="B62" s="75">
        <v>92258</v>
      </c>
      <c r="C62" s="87" t="s">
        <v>141</v>
      </c>
      <c r="D62" s="79" t="s">
        <v>276</v>
      </c>
      <c r="E62" s="150" t="s">
        <v>9</v>
      </c>
      <c r="F62" s="151">
        <v>8</v>
      </c>
      <c r="G62" s="144">
        <v>343.07</v>
      </c>
      <c r="H62" s="59">
        <v>428.84</v>
      </c>
      <c r="I62" s="59">
        <f t="shared" si="0"/>
        <v>3430.72</v>
      </c>
      <c r="J62" s="40"/>
    </row>
    <row r="63" spans="1:10" ht="19.5" customHeight="1">
      <c r="A63" s="25" t="s">
        <v>67</v>
      </c>
      <c r="B63" s="77">
        <v>94204</v>
      </c>
      <c r="C63" s="87" t="s">
        <v>141</v>
      </c>
      <c r="D63" s="88" t="s">
        <v>245</v>
      </c>
      <c r="E63" s="80" t="s">
        <v>34</v>
      </c>
      <c r="F63" s="77">
        <f>2*2+13.15*5.15+10*10*1.08+5*3*1.08</f>
        <v>195.9225</v>
      </c>
      <c r="G63" s="144">
        <v>60.7</v>
      </c>
      <c r="H63" s="59">
        <f>ROUND(G63*1.25,2)</f>
        <v>75.88</v>
      </c>
      <c r="I63" s="59">
        <f t="shared" si="0"/>
        <v>14866.5993</v>
      </c>
      <c r="J63" s="43"/>
    </row>
    <row r="64" spans="1:10" ht="12.75">
      <c r="A64" s="25" t="s">
        <v>68</v>
      </c>
      <c r="B64" s="77">
        <v>94219</v>
      </c>
      <c r="C64" s="87" t="s">
        <v>141</v>
      </c>
      <c r="D64" s="88" t="s">
        <v>246</v>
      </c>
      <c r="E64" s="80" t="s">
        <v>69</v>
      </c>
      <c r="F64" s="77">
        <f>12.15+10+2+5</f>
        <v>29.15</v>
      </c>
      <c r="G64" s="144">
        <v>32.22</v>
      </c>
      <c r="H64" s="59">
        <f>ROUND(G64*1.25,2)</f>
        <v>40.28</v>
      </c>
      <c r="I64" s="59">
        <f t="shared" si="0"/>
        <v>1174.162</v>
      </c>
      <c r="J64" s="40"/>
    </row>
    <row r="65" spans="1:10" ht="12.75">
      <c r="A65" s="25" t="s">
        <v>189</v>
      </c>
      <c r="B65" s="77" t="s">
        <v>258</v>
      </c>
      <c r="C65" s="87" t="s">
        <v>139</v>
      </c>
      <c r="D65" s="88" t="s">
        <v>257</v>
      </c>
      <c r="E65" s="80" t="s">
        <v>69</v>
      </c>
      <c r="F65" s="77">
        <f>12.15+12.15+3.15+3.15+4</f>
        <v>34.599999999999994</v>
      </c>
      <c r="G65" s="144">
        <v>20.32</v>
      </c>
      <c r="H65" s="59">
        <f>ROUND(G65*1.25,2)</f>
        <v>25.4</v>
      </c>
      <c r="I65" s="59">
        <f t="shared" si="0"/>
        <v>878.8399999999998</v>
      </c>
      <c r="J65" s="40"/>
    </row>
    <row r="66" spans="1:10" ht="38.25">
      <c r="A66" s="25" t="s">
        <v>275</v>
      </c>
      <c r="B66" s="77" t="s">
        <v>338</v>
      </c>
      <c r="C66" s="87" t="s">
        <v>139</v>
      </c>
      <c r="D66" s="79" t="s">
        <v>339</v>
      </c>
      <c r="E66" s="80" t="s">
        <v>69</v>
      </c>
      <c r="F66" s="77">
        <f>4*3.8+10*5.6</f>
        <v>71.2</v>
      </c>
      <c r="G66" s="144">
        <v>44.08</v>
      </c>
      <c r="H66" s="59">
        <f>ROUND(G66*1.25,2)</f>
        <v>55.1</v>
      </c>
      <c r="I66" s="59">
        <f t="shared" si="0"/>
        <v>3923.1200000000003</v>
      </c>
      <c r="J66" s="40"/>
    </row>
    <row r="67" spans="1:9" ht="25.5">
      <c r="A67" s="25" t="s">
        <v>340</v>
      </c>
      <c r="B67" s="77">
        <v>94227</v>
      </c>
      <c r="C67" s="89" t="s">
        <v>141</v>
      </c>
      <c r="D67" s="79" t="s">
        <v>156</v>
      </c>
      <c r="E67" s="80" t="s">
        <v>69</v>
      </c>
      <c r="F67" s="140">
        <f>20+12.15+12.5+10</f>
        <v>54.65</v>
      </c>
      <c r="G67" s="144">
        <v>73.56</v>
      </c>
      <c r="H67" s="59">
        <f>ROUND(G67*1.25,2)</f>
        <v>91.95</v>
      </c>
      <c r="I67" s="59">
        <f t="shared" si="0"/>
        <v>5025.0675</v>
      </c>
    </row>
    <row r="68" spans="1:9" ht="12.75">
      <c r="A68" s="25"/>
      <c r="B68" s="24"/>
      <c r="C68" s="89"/>
      <c r="D68" s="145"/>
      <c r="E68" s="28"/>
      <c r="F68" s="57"/>
      <c r="G68" s="59"/>
      <c r="H68" s="59"/>
      <c r="I68" s="59"/>
    </row>
    <row r="69" spans="1:9" ht="12.75">
      <c r="A69" s="223" t="s">
        <v>70</v>
      </c>
      <c r="B69" s="223"/>
      <c r="C69" s="223"/>
      <c r="D69" s="224"/>
      <c r="E69" s="223"/>
      <c r="F69" s="223"/>
      <c r="G69" s="223"/>
      <c r="H69" s="19"/>
      <c r="I69" s="1">
        <f>SUM(I61:I67)</f>
        <v>61537.144799999995</v>
      </c>
    </row>
    <row r="70" spans="1:9" ht="13.5" thickBot="1">
      <c r="A70" s="53"/>
      <c r="B70" s="53"/>
      <c r="C70" s="53"/>
      <c r="D70" s="54"/>
      <c r="E70" s="53"/>
      <c r="F70" s="53"/>
      <c r="G70" s="36"/>
      <c r="H70" s="36"/>
      <c r="I70" s="36"/>
    </row>
    <row r="71" spans="1:9" ht="13.5" thickBot="1">
      <c r="A71" s="10" t="s">
        <v>71</v>
      </c>
      <c r="B71" s="22"/>
      <c r="C71" s="22"/>
      <c r="D71" s="226" t="s">
        <v>72</v>
      </c>
      <c r="E71" s="227"/>
      <c r="F71" s="227"/>
      <c r="G71" s="227"/>
      <c r="H71" s="227"/>
      <c r="I71" s="228"/>
    </row>
    <row r="72" spans="1:10" ht="27" customHeight="1">
      <c r="A72" s="25" t="s">
        <v>73</v>
      </c>
      <c r="B72" s="25">
        <v>98557</v>
      </c>
      <c r="C72" s="75" t="s">
        <v>141</v>
      </c>
      <c r="D72" s="83" t="s">
        <v>173</v>
      </c>
      <c r="E72" s="25" t="s">
        <v>69</v>
      </c>
      <c r="F72" s="55">
        <v>23.46</v>
      </c>
      <c r="G72" s="59">
        <v>41.12</v>
      </c>
      <c r="H72" s="59">
        <f>ROUND(G72+G72*I5,2)</f>
        <v>51.4</v>
      </c>
      <c r="I72" s="59">
        <f>F72*H72</f>
        <v>1205.844</v>
      </c>
      <c r="J72" s="37"/>
    </row>
    <row r="73" spans="1:10" ht="25.5">
      <c r="A73" s="24" t="s">
        <v>74</v>
      </c>
      <c r="B73" s="77">
        <v>98562</v>
      </c>
      <c r="C73" s="77" t="s">
        <v>141</v>
      </c>
      <c r="D73" s="46" t="s">
        <v>157</v>
      </c>
      <c r="E73" s="24" t="s">
        <v>34</v>
      </c>
      <c r="F73" s="55">
        <f>12.15*0.6*2</f>
        <v>14.58</v>
      </c>
      <c r="G73" s="59">
        <v>40.9</v>
      </c>
      <c r="H73" s="59">
        <f>ROUND(G73+G73*I5,2)</f>
        <v>51.13</v>
      </c>
      <c r="I73" s="59">
        <f>F73*H73</f>
        <v>745.4754</v>
      </c>
      <c r="J73" s="36"/>
    </row>
    <row r="74" spans="1:10" ht="12.75">
      <c r="A74" s="223" t="s">
        <v>75</v>
      </c>
      <c r="B74" s="223"/>
      <c r="C74" s="223"/>
      <c r="D74" s="223"/>
      <c r="E74" s="223"/>
      <c r="F74" s="223"/>
      <c r="G74" s="223"/>
      <c r="H74" s="19"/>
      <c r="I74" s="161">
        <f>I73+I72</f>
        <v>1951.3194</v>
      </c>
      <c r="J74" s="36" t="s">
        <v>149</v>
      </c>
    </row>
    <row r="75" spans="1:9" ht="13.5" thickBot="1">
      <c r="A75" s="53"/>
      <c r="B75" s="53"/>
      <c r="C75" s="53"/>
      <c r="D75" s="54"/>
      <c r="E75" s="53"/>
      <c r="F75" s="53"/>
      <c r="G75" s="36"/>
      <c r="H75" s="36"/>
      <c r="I75" s="36"/>
    </row>
    <row r="76" spans="1:9" ht="13.5" thickBot="1">
      <c r="A76" s="10" t="s">
        <v>76</v>
      </c>
      <c r="B76" s="22"/>
      <c r="C76" s="22"/>
      <c r="D76" s="241" t="s">
        <v>77</v>
      </c>
      <c r="E76" s="242"/>
      <c r="F76" s="242"/>
      <c r="G76" s="242"/>
      <c r="H76" s="242"/>
      <c r="I76" s="243"/>
    </row>
    <row r="77" spans="1:9" ht="29.25" customHeight="1">
      <c r="A77" s="25" t="s">
        <v>78</v>
      </c>
      <c r="B77" s="50" t="s">
        <v>279</v>
      </c>
      <c r="C77" s="75" t="s">
        <v>139</v>
      </c>
      <c r="D77" s="38" t="s">
        <v>174</v>
      </c>
      <c r="E77" s="25" t="s">
        <v>34</v>
      </c>
      <c r="F77" s="142">
        <f>F48*2</f>
        <v>313.32</v>
      </c>
      <c r="G77" s="146">
        <v>8.5</v>
      </c>
      <c r="H77" s="59">
        <f aca="true" t="shared" si="1" ref="H77:H82">ROUND(G77*1.25,2)</f>
        <v>10.63</v>
      </c>
      <c r="I77" s="56">
        <f aca="true" t="shared" si="2" ref="I77:I82">F77*H77</f>
        <v>3330.5916</v>
      </c>
    </row>
    <row r="78" spans="1:9" ht="12.75">
      <c r="A78" s="24" t="s">
        <v>79</v>
      </c>
      <c r="B78" s="51" t="s">
        <v>278</v>
      </c>
      <c r="C78" s="75" t="s">
        <v>277</v>
      </c>
      <c r="D78" s="35" t="s">
        <v>158</v>
      </c>
      <c r="E78" s="24" t="s">
        <v>34</v>
      </c>
      <c r="F78" s="142">
        <f>F41</f>
        <v>71.72</v>
      </c>
      <c r="G78" s="33">
        <v>11.57</v>
      </c>
      <c r="H78" s="56">
        <f t="shared" si="1"/>
        <v>14.46</v>
      </c>
      <c r="I78" s="59">
        <f t="shared" si="2"/>
        <v>1037.0712</v>
      </c>
    </row>
    <row r="79" spans="1:10" ht="12.75">
      <c r="A79" s="24" t="s">
        <v>80</v>
      </c>
      <c r="B79" s="77" t="s">
        <v>281</v>
      </c>
      <c r="C79" s="77" t="s">
        <v>277</v>
      </c>
      <c r="D79" s="39" t="s">
        <v>159</v>
      </c>
      <c r="E79" s="24" t="s">
        <v>34</v>
      </c>
      <c r="F79" s="142">
        <f>F77</f>
        <v>313.32</v>
      </c>
      <c r="G79" s="59">
        <v>32.1</v>
      </c>
      <c r="H79" s="56">
        <f t="shared" si="1"/>
        <v>40.13</v>
      </c>
      <c r="I79" s="59">
        <f t="shared" si="2"/>
        <v>12573.5316</v>
      </c>
      <c r="J79" s="40"/>
    </row>
    <row r="80" spans="1:10" ht="25.5">
      <c r="A80" s="24" t="s">
        <v>81</v>
      </c>
      <c r="B80" s="77" t="s">
        <v>281</v>
      </c>
      <c r="C80" s="77" t="s">
        <v>139</v>
      </c>
      <c r="D80" s="39" t="s">
        <v>160</v>
      </c>
      <c r="E80" s="24" t="s">
        <v>34</v>
      </c>
      <c r="F80" s="142">
        <f>F78</f>
        <v>71.72</v>
      </c>
      <c r="G80" s="59">
        <v>32.1</v>
      </c>
      <c r="H80" s="56">
        <f t="shared" si="1"/>
        <v>40.13</v>
      </c>
      <c r="I80" s="59">
        <f t="shared" si="2"/>
        <v>2878.1236000000004</v>
      </c>
      <c r="J80" s="40"/>
    </row>
    <row r="81" spans="1:10" ht="12.75">
      <c r="A81" s="24" t="s">
        <v>82</v>
      </c>
      <c r="B81" s="77" t="s">
        <v>253</v>
      </c>
      <c r="C81" s="77" t="s">
        <v>139</v>
      </c>
      <c r="D81" s="141" t="s">
        <v>252</v>
      </c>
      <c r="E81" s="77" t="s">
        <v>69</v>
      </c>
      <c r="F81" s="142">
        <f>12.15+12.15+9+6</f>
        <v>39.3</v>
      </c>
      <c r="G81" s="59">
        <v>30.06</v>
      </c>
      <c r="H81" s="56">
        <f t="shared" si="1"/>
        <v>37.58</v>
      </c>
      <c r="I81" s="59">
        <f t="shared" si="2"/>
        <v>1476.8939999999998</v>
      </c>
      <c r="J81" s="40"/>
    </row>
    <row r="82" spans="1:10" ht="25.5">
      <c r="A82" s="24" t="s">
        <v>83</v>
      </c>
      <c r="B82" s="77" t="s">
        <v>282</v>
      </c>
      <c r="C82" s="77" t="s">
        <v>139</v>
      </c>
      <c r="D82" s="141" t="s">
        <v>247</v>
      </c>
      <c r="E82" s="24" t="s">
        <v>34</v>
      </c>
      <c r="F82" s="142">
        <f>(12.15+12.15+3.15)*1.2+(12.15+12.15+9)*1.2</f>
        <v>72.89999999999999</v>
      </c>
      <c r="G82" s="147">
        <v>81.94</v>
      </c>
      <c r="H82" s="56">
        <f t="shared" si="1"/>
        <v>102.43</v>
      </c>
      <c r="I82" s="59">
        <f t="shared" si="2"/>
        <v>7467.147</v>
      </c>
      <c r="J82" s="40"/>
    </row>
    <row r="83" spans="1:9" ht="12.75">
      <c r="A83" s="223" t="s">
        <v>84</v>
      </c>
      <c r="B83" s="223"/>
      <c r="C83" s="223"/>
      <c r="D83" s="223"/>
      <c r="E83" s="223"/>
      <c r="F83" s="223"/>
      <c r="G83" s="223"/>
      <c r="H83" s="19"/>
      <c r="I83" s="1">
        <f>SUM(I77:I82)</f>
        <v>28763.359</v>
      </c>
    </row>
    <row r="84" spans="1:9" ht="13.5" thickBot="1">
      <c r="A84" s="53"/>
      <c r="B84" s="53"/>
      <c r="C84" s="53"/>
      <c r="D84" s="54"/>
      <c r="E84" s="53"/>
      <c r="F84" s="53"/>
      <c r="G84" s="36"/>
      <c r="H84" s="36"/>
      <c r="I84" s="36"/>
    </row>
    <row r="85" spans="1:9" ht="12.75">
      <c r="A85" s="17" t="s">
        <v>86</v>
      </c>
      <c r="B85" s="23"/>
      <c r="C85" s="23"/>
      <c r="D85" s="232" t="s">
        <v>85</v>
      </c>
      <c r="E85" s="233"/>
      <c r="F85" s="233"/>
      <c r="G85" s="233"/>
      <c r="H85" s="233"/>
      <c r="I85" s="234"/>
    </row>
    <row r="86" spans="1:9" ht="25.5">
      <c r="A86" s="24" t="s">
        <v>87</v>
      </c>
      <c r="B86" s="77">
        <v>98555</v>
      </c>
      <c r="C86" s="77" t="s">
        <v>141</v>
      </c>
      <c r="D86" s="79" t="s">
        <v>175</v>
      </c>
      <c r="E86" s="77" t="s">
        <v>34</v>
      </c>
      <c r="F86" s="140">
        <v>138.27</v>
      </c>
      <c r="G86" s="144">
        <v>24.46</v>
      </c>
      <c r="H86" s="67">
        <f>ROUND(G86*1.25,2)</f>
        <v>30.58</v>
      </c>
      <c r="I86" s="67">
        <f aca="true" t="shared" si="3" ref="I86:I91">F86*H86</f>
        <v>4228.2966</v>
      </c>
    </row>
    <row r="87" spans="1:9" ht="12.75">
      <c r="A87" s="24" t="s">
        <v>88</v>
      </c>
      <c r="B87" s="77" t="s">
        <v>390</v>
      </c>
      <c r="C87" s="77" t="s">
        <v>390</v>
      </c>
      <c r="D87" s="79" t="s">
        <v>389</v>
      </c>
      <c r="E87" s="77" t="s">
        <v>34</v>
      </c>
      <c r="F87" s="140">
        <v>100</v>
      </c>
      <c r="G87" s="144">
        <v>112</v>
      </c>
      <c r="H87" s="67">
        <f>G87+G87*I5</f>
        <v>140</v>
      </c>
      <c r="I87" s="67">
        <f t="shared" si="3"/>
        <v>14000</v>
      </c>
    </row>
    <row r="88" spans="1:9" ht="72.75" customHeight="1">
      <c r="A88" s="24" t="s">
        <v>89</v>
      </c>
      <c r="B88" s="51" t="s">
        <v>283</v>
      </c>
      <c r="C88" s="77" t="s">
        <v>139</v>
      </c>
      <c r="D88" s="149" t="s">
        <v>284</v>
      </c>
      <c r="E88" s="77" t="s">
        <v>34</v>
      </c>
      <c r="F88" s="140">
        <f>F86</f>
        <v>138.27</v>
      </c>
      <c r="G88" s="33">
        <v>37.55</v>
      </c>
      <c r="H88" s="67">
        <f>ROUND(G88*1.25,2)</f>
        <v>46.94</v>
      </c>
      <c r="I88" s="67">
        <f t="shared" si="3"/>
        <v>6490.3938</v>
      </c>
    </row>
    <row r="89" spans="1:9" ht="25.5">
      <c r="A89" s="24" t="s">
        <v>90</v>
      </c>
      <c r="B89" s="77" t="s">
        <v>248</v>
      </c>
      <c r="C89" s="77" t="s">
        <v>139</v>
      </c>
      <c r="D89" s="79" t="s">
        <v>249</v>
      </c>
      <c r="E89" s="77" t="s">
        <v>34</v>
      </c>
      <c r="F89" s="140">
        <v>38.27</v>
      </c>
      <c r="G89" s="144">
        <v>93.53</v>
      </c>
      <c r="H89" s="67">
        <f>ROUND(G89*1.25,2)</f>
        <v>116.91</v>
      </c>
      <c r="I89" s="67">
        <f t="shared" si="3"/>
        <v>4474.1457</v>
      </c>
    </row>
    <row r="90" spans="1:9" ht="12.75">
      <c r="A90" s="24" t="s">
        <v>91</v>
      </c>
      <c r="B90" s="77" t="s">
        <v>250</v>
      </c>
      <c r="C90" s="77" t="s">
        <v>139</v>
      </c>
      <c r="D90" s="79" t="s">
        <v>251</v>
      </c>
      <c r="E90" s="77" t="s">
        <v>34</v>
      </c>
      <c r="F90" s="140">
        <f>F89</f>
        <v>38.27</v>
      </c>
      <c r="G90" s="144">
        <v>26.73</v>
      </c>
      <c r="H90" s="67">
        <f>ROUND(G90*1.25,2)</f>
        <v>33.41</v>
      </c>
      <c r="I90" s="67">
        <f t="shared" si="3"/>
        <v>1278.6007</v>
      </c>
    </row>
    <row r="91" spans="1:9" ht="25.5">
      <c r="A91" s="24" t="s">
        <v>359</v>
      </c>
      <c r="B91" s="77" t="s">
        <v>358</v>
      </c>
      <c r="C91" s="77" t="s">
        <v>139</v>
      </c>
      <c r="D91" s="79" t="s">
        <v>360</v>
      </c>
      <c r="E91" s="77" t="s">
        <v>34</v>
      </c>
      <c r="F91" s="140">
        <f>(12.15+12.15+3.15+3.15)*1.4</f>
        <v>42.839999999999996</v>
      </c>
      <c r="G91" s="144">
        <v>68.51</v>
      </c>
      <c r="H91" s="67">
        <f>ROUND(G91*1.25,2)</f>
        <v>85.64</v>
      </c>
      <c r="I91" s="67">
        <f t="shared" si="3"/>
        <v>3668.8176</v>
      </c>
    </row>
    <row r="92" spans="1:9" ht="12.75">
      <c r="A92" s="223" t="s">
        <v>92</v>
      </c>
      <c r="B92" s="223"/>
      <c r="C92" s="223"/>
      <c r="D92" s="223"/>
      <c r="E92" s="223"/>
      <c r="F92" s="223"/>
      <c r="G92" s="223"/>
      <c r="H92" s="19"/>
      <c r="I92" s="1">
        <f>SUM(I86:I91)</f>
        <v>34140.2544</v>
      </c>
    </row>
    <row r="93" spans="1:9" ht="13.5" thickBot="1">
      <c r="A93" s="53"/>
      <c r="B93" s="53"/>
      <c r="C93" s="53"/>
      <c r="D93" s="54"/>
      <c r="E93" s="53"/>
      <c r="F93" s="53"/>
      <c r="G93" s="36"/>
      <c r="H93" s="36"/>
      <c r="I93" s="36"/>
    </row>
    <row r="94" spans="1:9" ht="12.75">
      <c r="A94" s="17" t="s">
        <v>93</v>
      </c>
      <c r="B94" s="23"/>
      <c r="C94" s="23"/>
      <c r="D94" s="232" t="s">
        <v>98</v>
      </c>
      <c r="E94" s="233"/>
      <c r="F94" s="233"/>
      <c r="G94" s="233"/>
      <c r="H94" s="233"/>
      <c r="I94" s="234"/>
    </row>
    <row r="95" spans="1:10" ht="36" customHeight="1">
      <c r="A95" s="77" t="s">
        <v>95</v>
      </c>
      <c r="B95" s="77" t="s">
        <v>161</v>
      </c>
      <c r="C95" s="24" t="s">
        <v>136</v>
      </c>
      <c r="D95" s="79" t="s">
        <v>254</v>
      </c>
      <c r="E95" s="24" t="s">
        <v>34</v>
      </c>
      <c r="F95" s="57">
        <v>295.57</v>
      </c>
      <c r="G95" s="147">
        <v>15.08</v>
      </c>
      <c r="H95" s="59">
        <f>ROUND(G95*1.25,2)</f>
        <v>18.85</v>
      </c>
      <c r="I95" s="59">
        <f>F95*H95</f>
        <v>5571.494500000001</v>
      </c>
      <c r="J95" s="40"/>
    </row>
    <row r="96" spans="1:10" ht="33.75" customHeight="1">
      <c r="A96" s="77" t="s">
        <v>96</v>
      </c>
      <c r="B96" s="77" t="s">
        <v>161</v>
      </c>
      <c r="C96" s="24" t="s">
        <v>136</v>
      </c>
      <c r="D96" s="79" t="s">
        <v>228</v>
      </c>
      <c r="E96" s="24" t="s">
        <v>34</v>
      </c>
      <c r="F96" s="57">
        <f>F41</f>
        <v>71.72</v>
      </c>
      <c r="G96" s="59">
        <v>15.08</v>
      </c>
      <c r="H96" s="59">
        <f>ROUND(G96*1.25,2)</f>
        <v>18.85</v>
      </c>
      <c r="I96" s="59">
        <f>F96*H96</f>
        <v>1351.922</v>
      </c>
      <c r="J96" s="40"/>
    </row>
    <row r="97" spans="1:10" ht="35.25" customHeight="1">
      <c r="A97" s="77" t="s">
        <v>97</v>
      </c>
      <c r="B97" s="24">
        <v>88489</v>
      </c>
      <c r="C97" s="24" t="s">
        <v>141</v>
      </c>
      <c r="D97" s="35" t="s">
        <v>163</v>
      </c>
      <c r="E97" s="24" t="s">
        <v>34</v>
      </c>
      <c r="F97" s="57">
        <f>F95</f>
        <v>295.57</v>
      </c>
      <c r="G97" s="59">
        <v>13.68</v>
      </c>
      <c r="H97" s="59">
        <f>ROUND(G97*1.25,2)</f>
        <v>17.1</v>
      </c>
      <c r="I97" s="59">
        <f>F97*H97</f>
        <v>5054.247</v>
      </c>
      <c r="J97" s="40"/>
    </row>
    <row r="98" spans="1:10" ht="35.25" customHeight="1">
      <c r="A98" s="77" t="s">
        <v>226</v>
      </c>
      <c r="B98" s="24">
        <v>88488</v>
      </c>
      <c r="C98" s="24" t="s">
        <v>141</v>
      </c>
      <c r="D98" s="90" t="s">
        <v>193</v>
      </c>
      <c r="E98" s="24" t="s">
        <v>34</v>
      </c>
      <c r="F98" s="57">
        <f>F96</f>
        <v>71.72</v>
      </c>
      <c r="G98" s="59">
        <v>15.51</v>
      </c>
      <c r="H98" s="59">
        <f>ROUND(G98*1.25,2)</f>
        <v>19.39</v>
      </c>
      <c r="I98" s="59">
        <f>F98*H98</f>
        <v>1390.6508000000001</v>
      </c>
      <c r="J98" s="40"/>
    </row>
    <row r="99" spans="1:10" ht="28.5" customHeight="1">
      <c r="A99" s="77" t="s">
        <v>227</v>
      </c>
      <c r="B99" s="77" t="s">
        <v>162</v>
      </c>
      <c r="C99" s="24" t="s">
        <v>136</v>
      </c>
      <c r="D99" s="33" t="s">
        <v>229</v>
      </c>
      <c r="E99" s="24" t="s">
        <v>34</v>
      </c>
      <c r="F99" s="24">
        <f>CALCULO!F98</f>
        <v>108.4</v>
      </c>
      <c r="G99" s="147">
        <v>20.74</v>
      </c>
      <c r="H99" s="59">
        <f>ROUND(G99*1.25,2)</f>
        <v>25.93</v>
      </c>
      <c r="I99" s="59">
        <f>F99*H99</f>
        <v>2810.812</v>
      </c>
      <c r="J99" s="47"/>
    </row>
    <row r="100" spans="1:9" ht="12.75">
      <c r="A100" s="224" t="s">
        <v>94</v>
      </c>
      <c r="B100" s="224"/>
      <c r="C100" s="224"/>
      <c r="D100" s="224"/>
      <c r="E100" s="224"/>
      <c r="F100" s="224"/>
      <c r="G100" s="224"/>
      <c r="H100" s="21"/>
      <c r="I100" s="18">
        <f>SUM(I95:I99)</f>
        <v>16179.126300000002</v>
      </c>
    </row>
    <row r="101" spans="1:9" ht="13.5" thickBot="1">
      <c r="A101" s="53"/>
      <c r="B101" s="53"/>
      <c r="C101" s="53"/>
      <c r="D101" s="54"/>
      <c r="E101" s="53"/>
      <c r="F101" s="53"/>
      <c r="G101" s="36"/>
      <c r="H101" s="36"/>
      <c r="I101" s="36"/>
    </row>
    <row r="102" spans="1:9" ht="13.5" thickBot="1">
      <c r="A102" s="10" t="s">
        <v>99</v>
      </c>
      <c r="B102" s="22"/>
      <c r="C102" s="22"/>
      <c r="D102" s="232" t="s">
        <v>107</v>
      </c>
      <c r="E102" s="227"/>
      <c r="F102" s="227"/>
      <c r="G102" s="227"/>
      <c r="H102" s="227"/>
      <c r="I102" s="228"/>
    </row>
    <row r="103" spans="1:10" ht="25.5">
      <c r="A103" s="77" t="s">
        <v>100</v>
      </c>
      <c r="B103" s="24">
        <v>97586</v>
      </c>
      <c r="C103" s="48" t="s">
        <v>141</v>
      </c>
      <c r="D103" s="35" t="s">
        <v>164</v>
      </c>
      <c r="E103" s="24" t="s">
        <v>126</v>
      </c>
      <c r="F103" s="55">
        <v>5</v>
      </c>
      <c r="G103" s="59">
        <v>155.68</v>
      </c>
      <c r="H103" s="56">
        <f aca="true" t="shared" si="4" ref="H103:H109">ROUND(G103*1.25,2)</f>
        <v>194.6</v>
      </c>
      <c r="I103" s="56">
        <f aca="true" t="shared" si="5" ref="I103:I121">F103*H103</f>
        <v>973</v>
      </c>
      <c r="J103" s="40"/>
    </row>
    <row r="104" spans="1:10" ht="22.5" customHeight="1">
      <c r="A104" s="77" t="s">
        <v>101</v>
      </c>
      <c r="B104" s="24">
        <v>91996</v>
      </c>
      <c r="C104" s="48" t="s">
        <v>141</v>
      </c>
      <c r="D104" s="35" t="s">
        <v>165</v>
      </c>
      <c r="E104" s="24" t="s">
        <v>126</v>
      </c>
      <c r="F104" s="55">
        <v>12</v>
      </c>
      <c r="G104" s="59">
        <v>28.63</v>
      </c>
      <c r="H104" s="56">
        <f t="shared" si="4"/>
        <v>35.79</v>
      </c>
      <c r="I104" s="56">
        <f t="shared" si="5"/>
        <v>429.48</v>
      </c>
      <c r="J104" s="40"/>
    </row>
    <row r="105" spans="1:10" ht="25.5">
      <c r="A105" s="77" t="s">
        <v>102</v>
      </c>
      <c r="B105" s="24">
        <v>91953</v>
      </c>
      <c r="C105" s="48" t="s">
        <v>141</v>
      </c>
      <c r="D105" s="63" t="s">
        <v>166</v>
      </c>
      <c r="E105" s="24" t="s">
        <v>126</v>
      </c>
      <c r="F105" s="55">
        <v>3</v>
      </c>
      <c r="G105" s="59">
        <v>24</v>
      </c>
      <c r="H105" s="56">
        <f t="shared" si="4"/>
        <v>30</v>
      </c>
      <c r="I105" s="56">
        <f t="shared" si="5"/>
        <v>90</v>
      </c>
      <c r="J105" s="40"/>
    </row>
    <row r="106" spans="1:10" ht="25.5">
      <c r="A106" s="77" t="s">
        <v>103</v>
      </c>
      <c r="B106" s="143" t="s">
        <v>167</v>
      </c>
      <c r="C106" s="24" t="s">
        <v>139</v>
      </c>
      <c r="D106" s="79" t="s">
        <v>190</v>
      </c>
      <c r="E106" s="24" t="s">
        <v>69</v>
      </c>
      <c r="F106" s="55">
        <v>60</v>
      </c>
      <c r="G106" s="59">
        <v>24.27</v>
      </c>
      <c r="H106" s="56">
        <f t="shared" si="4"/>
        <v>30.34</v>
      </c>
      <c r="I106" s="56">
        <f t="shared" si="5"/>
        <v>1820.4</v>
      </c>
      <c r="J106" s="40"/>
    </row>
    <row r="107" spans="1:10" ht="12.75">
      <c r="A107" s="77" t="s">
        <v>104</v>
      </c>
      <c r="B107" s="143">
        <v>91932</v>
      </c>
      <c r="C107" s="24" t="s">
        <v>141</v>
      </c>
      <c r="D107" s="88" t="s">
        <v>168</v>
      </c>
      <c r="E107" s="80" t="s">
        <v>69</v>
      </c>
      <c r="F107" s="55">
        <v>60</v>
      </c>
      <c r="G107" s="59">
        <v>15.01</v>
      </c>
      <c r="H107" s="56">
        <f t="shared" si="4"/>
        <v>18.76</v>
      </c>
      <c r="I107" s="56">
        <f t="shared" si="5"/>
        <v>1125.6000000000001</v>
      </c>
      <c r="J107" s="40"/>
    </row>
    <row r="108" spans="1:10" ht="12.75">
      <c r="A108" s="77" t="s">
        <v>105</v>
      </c>
      <c r="B108" s="143">
        <v>91928</v>
      </c>
      <c r="C108" s="24" t="s">
        <v>141</v>
      </c>
      <c r="D108" s="45" t="s">
        <v>169</v>
      </c>
      <c r="E108" s="28" t="s">
        <v>69</v>
      </c>
      <c r="F108" s="55">
        <v>60</v>
      </c>
      <c r="G108" s="59">
        <v>6.01</v>
      </c>
      <c r="H108" s="56">
        <f t="shared" si="4"/>
        <v>7.51</v>
      </c>
      <c r="I108" s="56">
        <f t="shared" si="5"/>
        <v>450.59999999999997</v>
      </c>
      <c r="J108" s="40"/>
    </row>
    <row r="109" spans="1:10" ht="12.75">
      <c r="A109" s="77" t="s">
        <v>230</v>
      </c>
      <c r="B109" s="143">
        <v>91926</v>
      </c>
      <c r="C109" s="24" t="s">
        <v>141</v>
      </c>
      <c r="D109" s="45" t="s">
        <v>170</v>
      </c>
      <c r="E109" s="28" t="s">
        <v>69</v>
      </c>
      <c r="F109" s="55">
        <v>60</v>
      </c>
      <c r="G109" s="59">
        <v>3.9</v>
      </c>
      <c r="H109" s="56">
        <f t="shared" si="4"/>
        <v>4.88</v>
      </c>
      <c r="I109" s="56">
        <f t="shared" si="5"/>
        <v>292.8</v>
      </c>
      <c r="J109" s="40"/>
    </row>
    <row r="110" spans="1:10" ht="38.25">
      <c r="A110" s="77" t="s">
        <v>289</v>
      </c>
      <c r="B110" s="143" t="s">
        <v>285</v>
      </c>
      <c r="C110" s="24" t="s">
        <v>139</v>
      </c>
      <c r="D110" s="79" t="s">
        <v>286</v>
      </c>
      <c r="E110" s="80" t="s">
        <v>126</v>
      </c>
      <c r="F110" s="55">
        <v>2</v>
      </c>
      <c r="G110" s="59">
        <v>113.01</v>
      </c>
      <c r="H110" s="56">
        <v>141.26</v>
      </c>
      <c r="I110" s="56">
        <f t="shared" si="5"/>
        <v>282.52</v>
      </c>
      <c r="J110" s="40"/>
    </row>
    <row r="111" spans="1:10" ht="38.25">
      <c r="A111" s="77" t="s">
        <v>290</v>
      </c>
      <c r="B111" s="77" t="s">
        <v>313</v>
      </c>
      <c r="C111" s="24" t="s">
        <v>313</v>
      </c>
      <c r="D111" s="79" t="s">
        <v>294</v>
      </c>
      <c r="E111" s="80" t="s">
        <v>126</v>
      </c>
      <c r="F111" s="55">
        <v>6</v>
      </c>
      <c r="G111" s="59">
        <v>600</v>
      </c>
      <c r="H111" s="56">
        <f>G111+G111*I5</f>
        <v>750</v>
      </c>
      <c r="I111" s="56">
        <f t="shared" si="5"/>
        <v>4500</v>
      </c>
      <c r="J111" s="40"/>
    </row>
    <row r="112" spans="1:10" ht="12.75">
      <c r="A112" s="77" t="s">
        <v>293</v>
      </c>
      <c r="B112" s="77" t="s">
        <v>314</v>
      </c>
      <c r="C112" s="77" t="s">
        <v>139</v>
      </c>
      <c r="D112" s="79" t="s">
        <v>295</v>
      </c>
      <c r="E112" s="80" t="s">
        <v>69</v>
      </c>
      <c r="F112" s="55">
        <v>18</v>
      </c>
      <c r="G112" s="59">
        <v>40.94</v>
      </c>
      <c r="H112" s="56">
        <v>51.18</v>
      </c>
      <c r="I112" s="56">
        <f t="shared" si="5"/>
        <v>921.24</v>
      </c>
      <c r="J112" s="40"/>
    </row>
    <row r="113" spans="1:10" ht="12.75">
      <c r="A113" s="77" t="s">
        <v>304</v>
      </c>
      <c r="B113" s="158">
        <v>92697</v>
      </c>
      <c r="C113" s="77" t="s">
        <v>141</v>
      </c>
      <c r="D113" s="92" t="s">
        <v>296</v>
      </c>
      <c r="E113" s="80" t="s">
        <v>126</v>
      </c>
      <c r="F113" s="55">
        <v>12</v>
      </c>
      <c r="G113" s="59">
        <v>34.97</v>
      </c>
      <c r="H113" s="56">
        <v>43.71</v>
      </c>
      <c r="I113" s="56">
        <f t="shared" si="5"/>
        <v>524.52</v>
      </c>
      <c r="J113" s="40"/>
    </row>
    <row r="114" spans="1:10" ht="12.75">
      <c r="A114" s="77" t="s">
        <v>305</v>
      </c>
      <c r="B114" s="158">
        <v>92662</v>
      </c>
      <c r="C114" s="77" t="s">
        <v>141</v>
      </c>
      <c r="D114" s="92" t="s">
        <v>297</v>
      </c>
      <c r="E114" s="80" t="s">
        <v>126</v>
      </c>
      <c r="F114" s="55">
        <v>6</v>
      </c>
      <c r="G114" s="59">
        <v>38.94</v>
      </c>
      <c r="H114" s="56">
        <v>48.68</v>
      </c>
      <c r="I114" s="56">
        <f t="shared" si="5"/>
        <v>292.08</v>
      </c>
      <c r="J114" s="40"/>
    </row>
    <row r="115" spans="1:10" ht="25.5">
      <c r="A115" s="77" t="s">
        <v>306</v>
      </c>
      <c r="B115" s="158">
        <v>95809</v>
      </c>
      <c r="C115" s="77" t="s">
        <v>141</v>
      </c>
      <c r="D115" s="92" t="s">
        <v>298</v>
      </c>
      <c r="E115" s="80" t="s">
        <v>126</v>
      </c>
      <c r="F115" s="55">
        <v>6</v>
      </c>
      <c r="G115" s="59">
        <v>36.34</v>
      </c>
      <c r="H115" s="56">
        <v>45.43</v>
      </c>
      <c r="I115" s="56">
        <f t="shared" si="5"/>
        <v>272.58</v>
      </c>
      <c r="J115" s="40"/>
    </row>
    <row r="116" spans="1:10" ht="25.5">
      <c r="A116" s="77" t="s">
        <v>307</v>
      </c>
      <c r="B116" s="158">
        <v>95815</v>
      </c>
      <c r="C116" s="77" t="s">
        <v>141</v>
      </c>
      <c r="D116" s="92" t="s">
        <v>299</v>
      </c>
      <c r="E116" s="80" t="s">
        <v>126</v>
      </c>
      <c r="F116" s="55">
        <v>6</v>
      </c>
      <c r="G116" s="59">
        <v>35.33</v>
      </c>
      <c r="H116" s="56">
        <v>44.16</v>
      </c>
      <c r="I116" s="56">
        <f t="shared" si="5"/>
        <v>264.96</v>
      </c>
      <c r="J116" s="40"/>
    </row>
    <row r="117" spans="1:10" ht="25.5">
      <c r="A117" s="77" t="s">
        <v>308</v>
      </c>
      <c r="B117" s="158">
        <v>95801</v>
      </c>
      <c r="C117" s="77" t="s">
        <v>141</v>
      </c>
      <c r="D117" s="92" t="s">
        <v>300</v>
      </c>
      <c r="E117" s="80" t="s">
        <v>126</v>
      </c>
      <c r="F117" s="55">
        <v>6</v>
      </c>
      <c r="G117" s="59">
        <v>37.4</v>
      </c>
      <c r="H117" s="56">
        <f>G117+G117*I5</f>
        <v>46.75</v>
      </c>
      <c r="I117" s="56">
        <f t="shared" si="5"/>
        <v>280.5</v>
      </c>
      <c r="J117" s="40"/>
    </row>
    <row r="118" spans="1:10" ht="12.75">
      <c r="A118" s="77" t="s">
        <v>309</v>
      </c>
      <c r="B118" s="158" t="s">
        <v>303</v>
      </c>
      <c r="C118" s="77" t="s">
        <v>139</v>
      </c>
      <c r="D118" s="92" t="s">
        <v>301</v>
      </c>
      <c r="E118" s="80" t="s">
        <v>126</v>
      </c>
      <c r="F118" s="55">
        <v>6</v>
      </c>
      <c r="G118" s="59">
        <v>21.32</v>
      </c>
      <c r="H118" s="56">
        <f>G118+G118*I5</f>
        <v>26.65</v>
      </c>
      <c r="I118" s="56">
        <f t="shared" si="5"/>
        <v>159.89999999999998</v>
      </c>
      <c r="J118" s="40"/>
    </row>
    <row r="119" spans="1:10" ht="12.75">
      <c r="A119" s="77" t="s">
        <v>310</v>
      </c>
      <c r="B119" s="158" t="s">
        <v>303</v>
      </c>
      <c r="C119" s="77" t="s">
        <v>139</v>
      </c>
      <c r="D119" s="92" t="s">
        <v>302</v>
      </c>
      <c r="E119" s="80" t="s">
        <v>126</v>
      </c>
      <c r="F119" s="55">
        <v>6</v>
      </c>
      <c r="G119" s="59">
        <v>21.32</v>
      </c>
      <c r="H119" s="56">
        <f>G119+G119*I5</f>
        <v>26.65</v>
      </c>
      <c r="I119" s="56">
        <f t="shared" si="5"/>
        <v>159.89999999999998</v>
      </c>
      <c r="J119" s="40"/>
    </row>
    <row r="120" spans="1:10" ht="12.75">
      <c r="A120" s="77" t="s">
        <v>311</v>
      </c>
      <c r="B120" s="143" t="s">
        <v>287</v>
      </c>
      <c r="C120" s="77" t="s">
        <v>139</v>
      </c>
      <c r="D120" s="79" t="s">
        <v>288</v>
      </c>
      <c r="E120" s="80" t="s">
        <v>126</v>
      </c>
      <c r="F120" s="55">
        <v>6</v>
      </c>
      <c r="G120" s="59">
        <v>50.33</v>
      </c>
      <c r="H120" s="56">
        <v>62.91</v>
      </c>
      <c r="I120" s="56">
        <f t="shared" si="5"/>
        <v>377.46</v>
      </c>
      <c r="J120" s="40"/>
    </row>
    <row r="121" spans="1:10" ht="12.75">
      <c r="A121" s="77" t="s">
        <v>312</v>
      </c>
      <c r="B121" s="143" t="s">
        <v>291</v>
      </c>
      <c r="C121" s="77" t="s">
        <v>139</v>
      </c>
      <c r="D121" s="79" t="s">
        <v>292</v>
      </c>
      <c r="E121" s="80" t="s">
        <v>126</v>
      </c>
      <c r="F121" s="55">
        <v>2</v>
      </c>
      <c r="G121" s="59">
        <v>52.19</v>
      </c>
      <c r="H121" s="56">
        <f>G121+G121*I5</f>
        <v>65.2375</v>
      </c>
      <c r="I121" s="56">
        <f t="shared" si="5"/>
        <v>130.475</v>
      </c>
      <c r="J121" s="40"/>
    </row>
    <row r="122" spans="1:10" ht="12.75">
      <c r="A122" s="223" t="s">
        <v>106</v>
      </c>
      <c r="B122" s="223"/>
      <c r="C122" s="223"/>
      <c r="D122" s="223"/>
      <c r="E122" s="223"/>
      <c r="F122" s="223"/>
      <c r="G122" s="223"/>
      <c r="H122" s="19"/>
      <c r="I122" s="1">
        <f>SUM(I103:I121)</f>
        <v>13348.015</v>
      </c>
      <c r="J122" s="31"/>
    </row>
    <row r="123" spans="1:10" ht="13.5" thickBot="1">
      <c r="A123" s="91"/>
      <c r="B123" s="91"/>
      <c r="C123" s="91"/>
      <c r="D123" s="91"/>
      <c r="E123" s="91"/>
      <c r="F123" s="91"/>
      <c r="G123" s="91"/>
      <c r="H123" s="91"/>
      <c r="I123" s="11"/>
      <c r="J123" s="31"/>
    </row>
    <row r="124" spans="1:9" ht="13.5" thickBot="1">
      <c r="A124" s="10" t="s">
        <v>108</v>
      </c>
      <c r="B124" s="22"/>
      <c r="C124" s="22"/>
      <c r="D124" s="226" t="s">
        <v>110</v>
      </c>
      <c r="E124" s="227"/>
      <c r="F124" s="227"/>
      <c r="G124" s="227"/>
      <c r="H124" s="227"/>
      <c r="I124" s="228"/>
    </row>
    <row r="125" spans="1:10" ht="25.5">
      <c r="A125" s="75" t="s">
        <v>125</v>
      </c>
      <c r="B125" s="77" t="s">
        <v>315</v>
      </c>
      <c r="C125" s="89" t="s">
        <v>280</v>
      </c>
      <c r="D125" s="79" t="s">
        <v>316</v>
      </c>
      <c r="E125" s="77" t="s">
        <v>69</v>
      </c>
      <c r="F125" s="57">
        <v>12</v>
      </c>
      <c r="G125" s="147">
        <v>42.89</v>
      </c>
      <c r="H125" s="59">
        <f>ROUND(G125*1.25,2)</f>
        <v>53.61</v>
      </c>
      <c r="I125" s="59">
        <f>F125*H125</f>
        <v>643.3199999999999</v>
      </c>
      <c r="J125" s="52"/>
    </row>
    <row r="126" spans="1:10" ht="25.5">
      <c r="A126" s="75" t="s">
        <v>127</v>
      </c>
      <c r="B126" s="77" t="s">
        <v>152</v>
      </c>
      <c r="C126" s="89" t="s">
        <v>280</v>
      </c>
      <c r="D126" s="159" t="s">
        <v>319</v>
      </c>
      <c r="E126" s="77" t="s">
        <v>69</v>
      </c>
      <c r="F126" s="57">
        <v>18</v>
      </c>
      <c r="G126" s="147">
        <v>22.47</v>
      </c>
      <c r="H126" s="59">
        <v>28.09</v>
      </c>
      <c r="I126" s="59">
        <f aca="true" t="shared" si="6" ref="I126:I135">F126*H126</f>
        <v>505.62</v>
      </c>
      <c r="J126" s="52"/>
    </row>
    <row r="127" spans="1:10" ht="51">
      <c r="A127" s="75" t="s">
        <v>128</v>
      </c>
      <c r="B127" s="77" t="s">
        <v>317</v>
      </c>
      <c r="C127" s="89" t="s">
        <v>280</v>
      </c>
      <c r="D127" s="159" t="s">
        <v>318</v>
      </c>
      <c r="E127" s="77" t="s">
        <v>126</v>
      </c>
      <c r="F127" s="57">
        <v>3</v>
      </c>
      <c r="G127" s="147">
        <v>188.37</v>
      </c>
      <c r="H127" s="59">
        <v>235.46</v>
      </c>
      <c r="I127" s="59">
        <f t="shared" si="6"/>
        <v>706.38</v>
      </c>
      <c r="J127" s="52"/>
    </row>
    <row r="128" spans="1:10" ht="38.25">
      <c r="A128" s="75" t="s">
        <v>129</v>
      </c>
      <c r="B128" s="77" t="s">
        <v>320</v>
      </c>
      <c r="C128" s="89" t="s">
        <v>280</v>
      </c>
      <c r="D128" s="159" t="s">
        <v>321</v>
      </c>
      <c r="E128" s="77" t="s">
        <v>126</v>
      </c>
      <c r="F128" s="57">
        <v>2</v>
      </c>
      <c r="G128" s="147">
        <v>80.6</v>
      </c>
      <c r="H128" s="59">
        <f>G128+G128*I5</f>
        <v>100.75</v>
      </c>
      <c r="I128" s="59">
        <f t="shared" si="6"/>
        <v>201.5</v>
      </c>
      <c r="J128" s="52"/>
    </row>
    <row r="129" spans="1:10" ht="38.25">
      <c r="A129" s="75" t="s">
        <v>130</v>
      </c>
      <c r="B129" s="77" t="s">
        <v>322</v>
      </c>
      <c r="C129" s="89" t="s">
        <v>280</v>
      </c>
      <c r="D129" s="159" t="s">
        <v>323</v>
      </c>
      <c r="E129" s="77" t="s">
        <v>126</v>
      </c>
      <c r="F129" s="57">
        <v>6</v>
      </c>
      <c r="G129" s="147">
        <v>237.82</v>
      </c>
      <c r="H129" s="59">
        <v>297.28</v>
      </c>
      <c r="I129" s="59">
        <f t="shared" si="6"/>
        <v>1783.6799999999998</v>
      </c>
      <c r="J129" s="52"/>
    </row>
    <row r="130" spans="1:10" ht="63.75">
      <c r="A130" s="75" t="s">
        <v>332</v>
      </c>
      <c r="B130" s="77" t="s">
        <v>326</v>
      </c>
      <c r="C130" s="89" t="s">
        <v>280</v>
      </c>
      <c r="D130" s="159" t="s">
        <v>327</v>
      </c>
      <c r="E130" s="77" t="s">
        <v>126</v>
      </c>
      <c r="F130" s="57">
        <v>12</v>
      </c>
      <c r="G130" s="147">
        <v>168.25</v>
      </c>
      <c r="H130" s="59">
        <v>210.31</v>
      </c>
      <c r="I130" s="59">
        <f t="shared" si="6"/>
        <v>2523.7200000000003</v>
      </c>
      <c r="J130" s="52"/>
    </row>
    <row r="131" spans="1:10" ht="38.25">
      <c r="A131" s="75" t="s">
        <v>333</v>
      </c>
      <c r="B131" s="77" t="s">
        <v>328</v>
      </c>
      <c r="C131" s="89" t="s">
        <v>280</v>
      </c>
      <c r="D131" s="159" t="s">
        <v>329</v>
      </c>
      <c r="E131" s="77" t="s">
        <v>126</v>
      </c>
      <c r="F131" s="57">
        <v>4</v>
      </c>
      <c r="G131" s="30">
        <v>223.12</v>
      </c>
      <c r="H131" s="59">
        <f>G131+G131*I5</f>
        <v>278.9</v>
      </c>
      <c r="I131" s="59">
        <f t="shared" si="6"/>
        <v>1115.6</v>
      </c>
      <c r="J131" s="41"/>
    </row>
    <row r="132" spans="1:9" ht="51">
      <c r="A132" s="75" t="s">
        <v>334</v>
      </c>
      <c r="B132" s="77" t="s">
        <v>330</v>
      </c>
      <c r="C132" s="89" t="s">
        <v>280</v>
      </c>
      <c r="D132" s="79" t="s">
        <v>331</v>
      </c>
      <c r="E132" s="77" t="s">
        <v>126</v>
      </c>
      <c r="F132" s="57">
        <v>6</v>
      </c>
      <c r="G132" s="59">
        <v>82.65</v>
      </c>
      <c r="H132" s="59">
        <v>103.31</v>
      </c>
      <c r="I132" s="59">
        <f t="shared" si="6"/>
        <v>619.86</v>
      </c>
    </row>
    <row r="133" spans="1:9" ht="12.75">
      <c r="A133" s="75" t="s">
        <v>337</v>
      </c>
      <c r="B133" s="77" t="s">
        <v>342</v>
      </c>
      <c r="C133" s="89" t="s">
        <v>280</v>
      </c>
      <c r="D133" s="79" t="s">
        <v>343</v>
      </c>
      <c r="E133" s="77" t="s">
        <v>126</v>
      </c>
      <c r="F133" s="57">
        <v>4</v>
      </c>
      <c r="G133" s="59">
        <v>98.77</v>
      </c>
      <c r="H133" s="59">
        <v>123.46</v>
      </c>
      <c r="I133" s="59">
        <f t="shared" si="6"/>
        <v>493.84</v>
      </c>
    </row>
    <row r="134" spans="1:9" ht="76.5">
      <c r="A134" s="75" t="s">
        <v>341</v>
      </c>
      <c r="B134" s="77" t="s">
        <v>392</v>
      </c>
      <c r="C134" s="89" t="s">
        <v>280</v>
      </c>
      <c r="D134" s="79" t="s">
        <v>393</v>
      </c>
      <c r="E134" s="77" t="s">
        <v>9</v>
      </c>
      <c r="F134" s="57">
        <v>6</v>
      </c>
      <c r="G134" s="59">
        <v>126.69</v>
      </c>
      <c r="H134" s="59">
        <v>158.36</v>
      </c>
      <c r="I134" s="59">
        <f t="shared" si="6"/>
        <v>950.1600000000001</v>
      </c>
    </row>
    <row r="135" spans="1:10" ht="51">
      <c r="A135" s="75" t="s">
        <v>391</v>
      </c>
      <c r="B135" s="77" t="s">
        <v>335</v>
      </c>
      <c r="C135" s="89" t="s">
        <v>280</v>
      </c>
      <c r="D135" s="79" t="s">
        <v>336</v>
      </c>
      <c r="E135" s="77" t="s">
        <v>126</v>
      </c>
      <c r="F135" s="57">
        <v>1</v>
      </c>
      <c r="G135" s="59">
        <v>859.11</v>
      </c>
      <c r="H135" s="59">
        <f>G135+G135*I5</f>
        <v>1073.8875</v>
      </c>
      <c r="I135" s="59">
        <f t="shared" si="6"/>
        <v>1073.8875</v>
      </c>
      <c r="J135" s="40"/>
    </row>
    <row r="136" spans="1:9" ht="12.75">
      <c r="A136" s="223" t="s">
        <v>109</v>
      </c>
      <c r="B136" s="223"/>
      <c r="C136" s="223"/>
      <c r="D136" s="223"/>
      <c r="E136" s="223"/>
      <c r="F136" s="223"/>
      <c r="G136" s="223"/>
      <c r="H136" s="19"/>
      <c r="I136" s="1">
        <f>SUM(I125:I135)</f>
        <v>10617.5675</v>
      </c>
    </row>
    <row r="137" spans="1:9" ht="13.5" thickBot="1">
      <c r="A137" s="53"/>
      <c r="B137" s="53"/>
      <c r="C137" s="53"/>
      <c r="D137" s="54"/>
      <c r="E137" s="53"/>
      <c r="F137" s="53"/>
      <c r="G137" s="36"/>
      <c r="H137" s="36"/>
      <c r="I137" s="36"/>
    </row>
    <row r="138" spans="1:9" ht="13.5" thickBot="1">
      <c r="A138" s="17" t="s">
        <v>111</v>
      </c>
      <c r="B138" s="23"/>
      <c r="C138" s="23"/>
      <c r="D138" s="232" t="s">
        <v>115</v>
      </c>
      <c r="E138" s="233"/>
      <c r="F138" s="233"/>
      <c r="G138" s="233"/>
      <c r="H138" s="233"/>
      <c r="I138" s="234"/>
    </row>
    <row r="139" spans="1:9" ht="28.5" customHeight="1">
      <c r="A139" s="197" t="s">
        <v>112</v>
      </c>
      <c r="B139" s="198" t="s">
        <v>344</v>
      </c>
      <c r="C139" s="198" t="s">
        <v>139</v>
      </c>
      <c r="D139" s="199" t="s">
        <v>345</v>
      </c>
      <c r="E139" s="198" t="s">
        <v>69</v>
      </c>
      <c r="F139" s="200">
        <v>40</v>
      </c>
      <c r="G139" s="201">
        <v>52.89</v>
      </c>
      <c r="H139" s="201">
        <v>66.11</v>
      </c>
      <c r="I139" s="202">
        <f>F139*H139</f>
        <v>2644.4</v>
      </c>
    </row>
    <row r="140" spans="1:9" ht="28.5" customHeight="1">
      <c r="A140" s="203" t="s">
        <v>113</v>
      </c>
      <c r="B140" s="75" t="s">
        <v>346</v>
      </c>
      <c r="C140" s="75" t="s">
        <v>139</v>
      </c>
      <c r="D140" s="160" t="s">
        <v>347</v>
      </c>
      <c r="E140" s="150" t="s">
        <v>69</v>
      </c>
      <c r="F140" s="55">
        <v>15</v>
      </c>
      <c r="G140" s="59">
        <v>35.62</v>
      </c>
      <c r="H140" s="59">
        <v>44.53</v>
      </c>
      <c r="I140" s="204">
        <f aca="true" t="shared" si="7" ref="I140:I148">F140*H140</f>
        <v>667.95</v>
      </c>
    </row>
    <row r="141" spans="1:9" ht="28.5" customHeight="1">
      <c r="A141" s="203" t="s">
        <v>191</v>
      </c>
      <c r="B141" s="75" t="s">
        <v>348</v>
      </c>
      <c r="C141" s="75" t="s">
        <v>139</v>
      </c>
      <c r="D141" s="160" t="s">
        <v>349</v>
      </c>
      <c r="E141" s="150" t="s">
        <v>9</v>
      </c>
      <c r="F141" s="55">
        <v>2</v>
      </c>
      <c r="G141" s="59">
        <v>70.19</v>
      </c>
      <c r="H141" s="59">
        <f>G141+G141*I5</f>
        <v>87.7375</v>
      </c>
      <c r="I141" s="204">
        <f t="shared" si="7"/>
        <v>175.475</v>
      </c>
    </row>
    <row r="142" spans="1:9" ht="28.5" customHeight="1">
      <c r="A142" s="203" t="s">
        <v>365</v>
      </c>
      <c r="B142" s="75" t="s">
        <v>350</v>
      </c>
      <c r="C142" s="75" t="s">
        <v>139</v>
      </c>
      <c r="D142" s="160" t="s">
        <v>351</v>
      </c>
      <c r="E142" s="150" t="s">
        <v>9</v>
      </c>
      <c r="F142" s="55">
        <v>4</v>
      </c>
      <c r="G142" s="59">
        <v>33.37</v>
      </c>
      <c r="H142" s="59">
        <v>41.71</v>
      </c>
      <c r="I142" s="204">
        <f t="shared" si="7"/>
        <v>166.84</v>
      </c>
    </row>
    <row r="143" spans="1:9" ht="75.75" customHeight="1">
      <c r="A143" s="203" t="s">
        <v>366</v>
      </c>
      <c r="B143" s="75" t="s">
        <v>324</v>
      </c>
      <c r="C143" s="75" t="s">
        <v>139</v>
      </c>
      <c r="D143" s="160" t="s">
        <v>325</v>
      </c>
      <c r="E143" s="150" t="s">
        <v>9</v>
      </c>
      <c r="F143" s="55">
        <v>4</v>
      </c>
      <c r="G143" s="59">
        <v>312.25</v>
      </c>
      <c r="H143" s="59">
        <f>G143+G143*I5</f>
        <v>390.3125</v>
      </c>
      <c r="I143" s="204">
        <f t="shared" si="7"/>
        <v>1561.25</v>
      </c>
    </row>
    <row r="144" spans="1:9" ht="63.75" customHeight="1">
      <c r="A144" s="203" t="s">
        <v>367</v>
      </c>
      <c r="B144" s="75" t="s">
        <v>352</v>
      </c>
      <c r="C144" s="75" t="s">
        <v>139</v>
      </c>
      <c r="D144" s="160" t="s">
        <v>353</v>
      </c>
      <c r="E144" s="150" t="s">
        <v>9</v>
      </c>
      <c r="F144" s="55">
        <v>4</v>
      </c>
      <c r="G144" s="59">
        <v>214.35</v>
      </c>
      <c r="H144" s="59">
        <v>267.94</v>
      </c>
      <c r="I144" s="204">
        <f t="shared" si="7"/>
        <v>1071.76</v>
      </c>
    </row>
    <row r="145" spans="1:9" ht="72.75" customHeight="1">
      <c r="A145" s="203" t="s">
        <v>368</v>
      </c>
      <c r="B145" s="75" t="s">
        <v>354</v>
      </c>
      <c r="C145" s="75" t="s">
        <v>139</v>
      </c>
      <c r="D145" s="160" t="s">
        <v>355</v>
      </c>
      <c r="E145" s="150" t="s">
        <v>9</v>
      </c>
      <c r="F145" s="55">
        <v>4</v>
      </c>
      <c r="G145" s="59">
        <v>725.06</v>
      </c>
      <c r="H145" s="59">
        <v>906.33</v>
      </c>
      <c r="I145" s="204">
        <f t="shared" si="7"/>
        <v>3625.32</v>
      </c>
    </row>
    <row r="146" spans="1:9" ht="42.75" customHeight="1">
      <c r="A146" s="203" t="s">
        <v>369</v>
      </c>
      <c r="B146" s="75" t="s">
        <v>356</v>
      </c>
      <c r="C146" s="75" t="s">
        <v>139</v>
      </c>
      <c r="D146" s="160" t="s">
        <v>357</v>
      </c>
      <c r="E146" s="150" t="s">
        <v>9</v>
      </c>
      <c r="F146" s="55">
        <v>4</v>
      </c>
      <c r="G146" s="59">
        <v>322.47</v>
      </c>
      <c r="H146" s="59">
        <v>403.09</v>
      </c>
      <c r="I146" s="204">
        <f t="shared" si="7"/>
        <v>1612.36</v>
      </c>
    </row>
    <row r="147" spans="1:9" ht="71.25" customHeight="1">
      <c r="A147" s="203" t="s">
        <v>370</v>
      </c>
      <c r="B147" s="75" t="s">
        <v>361</v>
      </c>
      <c r="C147" s="75" t="s">
        <v>139</v>
      </c>
      <c r="D147" s="160" t="s">
        <v>362</v>
      </c>
      <c r="E147" s="150" t="s">
        <v>69</v>
      </c>
      <c r="F147" s="55">
        <v>15</v>
      </c>
      <c r="G147" s="59">
        <v>105.22</v>
      </c>
      <c r="H147" s="59">
        <v>131.53</v>
      </c>
      <c r="I147" s="204">
        <f t="shared" si="7"/>
        <v>1972.95</v>
      </c>
    </row>
    <row r="148" spans="1:9" ht="45" customHeight="1">
      <c r="A148" s="203" t="s">
        <v>371</v>
      </c>
      <c r="B148" s="75" t="s">
        <v>363</v>
      </c>
      <c r="C148" s="75" t="s">
        <v>139</v>
      </c>
      <c r="D148" s="160" t="s">
        <v>364</v>
      </c>
      <c r="E148" s="150" t="s">
        <v>69</v>
      </c>
      <c r="F148" s="55">
        <v>15</v>
      </c>
      <c r="G148" s="59">
        <v>44.91</v>
      </c>
      <c r="H148" s="59">
        <v>56.14</v>
      </c>
      <c r="I148" s="204">
        <f t="shared" si="7"/>
        <v>842.1</v>
      </c>
    </row>
    <row r="149" spans="1:9" ht="12.75">
      <c r="A149" s="225" t="s">
        <v>114</v>
      </c>
      <c r="B149" s="223"/>
      <c r="C149" s="223"/>
      <c r="D149" s="223"/>
      <c r="E149" s="223"/>
      <c r="F149" s="223"/>
      <c r="G149" s="223"/>
      <c r="H149" s="19"/>
      <c r="I149" s="205">
        <f>SUM(I139:I148)</f>
        <v>14340.405000000002</v>
      </c>
    </row>
    <row r="150" spans="1:9" ht="13.5" thickBot="1">
      <c r="A150" s="206"/>
      <c r="B150" s="207"/>
      <c r="C150" s="207"/>
      <c r="D150" s="208"/>
      <c r="E150" s="207"/>
      <c r="F150" s="207"/>
      <c r="G150" s="209"/>
      <c r="H150" s="209"/>
      <c r="I150" s="210"/>
    </row>
    <row r="151" spans="1:9" ht="13.5" thickBot="1">
      <c r="A151" s="10" t="s">
        <v>116</v>
      </c>
      <c r="B151" s="22"/>
      <c r="C151" s="22"/>
      <c r="D151" s="226" t="s">
        <v>119</v>
      </c>
      <c r="E151" s="227"/>
      <c r="F151" s="227"/>
      <c r="G151" s="227"/>
      <c r="H151" s="227"/>
      <c r="I151" s="228"/>
    </row>
    <row r="152" spans="1:9" ht="46.5" customHeight="1">
      <c r="A152" s="203" t="s">
        <v>376</v>
      </c>
      <c r="B152" s="77" t="s">
        <v>255</v>
      </c>
      <c r="C152" s="24" t="s">
        <v>139</v>
      </c>
      <c r="D152" s="79" t="s">
        <v>374</v>
      </c>
      <c r="E152" s="24" t="s">
        <v>9</v>
      </c>
      <c r="F152" s="81">
        <v>4</v>
      </c>
      <c r="G152" s="30">
        <v>196.77</v>
      </c>
      <c r="H152" s="59">
        <f>ROUND(G152*1.25,2)</f>
        <v>245.96</v>
      </c>
      <c r="I152" s="204">
        <f>F152*H152</f>
        <v>983.84</v>
      </c>
    </row>
    <row r="153" spans="1:9" ht="46.5" customHeight="1">
      <c r="A153" s="203" t="s">
        <v>377</v>
      </c>
      <c r="B153" s="77" t="s">
        <v>256</v>
      </c>
      <c r="C153" s="24" t="s">
        <v>139</v>
      </c>
      <c r="D153" s="79" t="s">
        <v>375</v>
      </c>
      <c r="E153" s="77" t="s">
        <v>9</v>
      </c>
      <c r="F153" s="81">
        <v>4</v>
      </c>
      <c r="G153" s="30">
        <v>187.49</v>
      </c>
      <c r="H153" s="59">
        <v>234.36</v>
      </c>
      <c r="I153" s="204">
        <f>F153*H153</f>
        <v>937.44</v>
      </c>
    </row>
    <row r="154" spans="1:9" ht="30" customHeight="1">
      <c r="A154" s="203" t="s">
        <v>378</v>
      </c>
      <c r="B154" s="77" t="s">
        <v>372</v>
      </c>
      <c r="C154" s="24" t="s">
        <v>139</v>
      </c>
      <c r="D154" s="79" t="s">
        <v>373</v>
      </c>
      <c r="E154" s="24" t="s">
        <v>9</v>
      </c>
      <c r="F154" s="81">
        <v>4</v>
      </c>
      <c r="G154" s="59">
        <v>63.75</v>
      </c>
      <c r="H154" s="59">
        <f>ROUND(G154*1.25,2)</f>
        <v>79.69</v>
      </c>
      <c r="I154" s="204">
        <f>F154*H154</f>
        <v>318.76</v>
      </c>
    </row>
    <row r="155" spans="1:10" ht="12.75">
      <c r="A155" s="225" t="s">
        <v>117</v>
      </c>
      <c r="B155" s="223"/>
      <c r="C155" s="223"/>
      <c r="D155" s="223"/>
      <c r="E155" s="223"/>
      <c r="F155" s="223"/>
      <c r="G155" s="223"/>
      <c r="H155" s="19"/>
      <c r="I155" s="205">
        <f>SUM(I152:I154)</f>
        <v>2240.04</v>
      </c>
      <c r="J155" s="11"/>
    </row>
    <row r="156" spans="1:9" ht="13.5" thickBot="1">
      <c r="A156" s="206"/>
      <c r="B156" s="207"/>
      <c r="C156" s="207"/>
      <c r="D156" s="208"/>
      <c r="E156" s="207"/>
      <c r="F156" s="207"/>
      <c r="G156" s="209"/>
      <c r="H156" s="209"/>
      <c r="I156" s="210"/>
    </row>
    <row r="157" spans="1:9" ht="13.5" thickBot="1">
      <c r="A157" s="10" t="s">
        <v>118</v>
      </c>
      <c r="B157" s="22"/>
      <c r="C157" s="22"/>
      <c r="D157" s="226" t="s">
        <v>383</v>
      </c>
      <c r="E157" s="227"/>
      <c r="F157" s="227"/>
      <c r="G157" s="227"/>
      <c r="H157" s="227"/>
      <c r="I157" s="228"/>
    </row>
    <row r="158" spans="1:9" ht="63.75">
      <c r="A158" s="203" t="s">
        <v>120</v>
      </c>
      <c r="B158" s="75" t="s">
        <v>379</v>
      </c>
      <c r="C158" s="75" t="s">
        <v>139</v>
      </c>
      <c r="D158" s="92" t="s">
        <v>380</v>
      </c>
      <c r="E158" s="75" t="s">
        <v>34</v>
      </c>
      <c r="F158" s="93">
        <v>5.5</v>
      </c>
      <c r="G158" s="147">
        <v>332.71</v>
      </c>
      <c r="H158" s="59">
        <v>415.89</v>
      </c>
      <c r="I158" s="204">
        <f>F158*H158</f>
        <v>2287.395</v>
      </c>
    </row>
    <row r="159" spans="1:10" ht="27.75" customHeight="1">
      <c r="A159" s="203" t="s">
        <v>386</v>
      </c>
      <c r="B159" s="75" t="s">
        <v>381</v>
      </c>
      <c r="C159" s="75" t="s">
        <v>139</v>
      </c>
      <c r="D159" s="92" t="s">
        <v>382</v>
      </c>
      <c r="E159" s="75" t="s">
        <v>34</v>
      </c>
      <c r="F159" s="93">
        <v>4.9</v>
      </c>
      <c r="G159" s="147">
        <v>629.32</v>
      </c>
      <c r="H159" s="59">
        <f>ROUND(G159+G159*I5,2)</f>
        <v>786.65</v>
      </c>
      <c r="I159" s="204">
        <f>H159*F159</f>
        <v>3854.585</v>
      </c>
      <c r="J159" s="47"/>
    </row>
    <row r="160" spans="1:10" ht="27.75" customHeight="1">
      <c r="A160" s="203" t="s">
        <v>387</v>
      </c>
      <c r="B160" s="75" t="s">
        <v>384</v>
      </c>
      <c r="C160" s="75" t="s">
        <v>139</v>
      </c>
      <c r="D160" s="92" t="s">
        <v>385</v>
      </c>
      <c r="E160" s="75" t="s">
        <v>34</v>
      </c>
      <c r="F160" s="93">
        <v>200</v>
      </c>
      <c r="G160" s="147">
        <v>6.46</v>
      </c>
      <c r="H160" s="59">
        <v>8.08</v>
      </c>
      <c r="I160" s="204">
        <f>F160*H160</f>
        <v>1616</v>
      </c>
      <c r="J160" s="47"/>
    </row>
    <row r="161" spans="1:9" ht="12.75">
      <c r="A161" s="225" t="s">
        <v>232</v>
      </c>
      <c r="B161" s="223"/>
      <c r="C161" s="223"/>
      <c r="D161" s="223"/>
      <c r="E161" s="223"/>
      <c r="F161" s="223"/>
      <c r="G161" s="223"/>
      <c r="H161" s="19"/>
      <c r="I161" s="205">
        <f>I160+I159+I158</f>
        <v>7757.98</v>
      </c>
    </row>
    <row r="162" spans="1:9" ht="12.75">
      <c r="A162" s="206"/>
      <c r="B162" s="207"/>
      <c r="C162" s="207"/>
      <c r="D162" s="208"/>
      <c r="E162" s="207"/>
      <c r="F162" s="207"/>
      <c r="G162" s="209"/>
      <c r="H162" s="209"/>
      <c r="I162" s="210"/>
    </row>
    <row r="163" spans="1:10" ht="12.75">
      <c r="A163" s="206"/>
      <c r="B163" s="207"/>
      <c r="C163" s="207"/>
      <c r="D163" s="208"/>
      <c r="E163" s="207"/>
      <c r="F163" s="207"/>
      <c r="G163" s="209"/>
      <c r="H163" s="209"/>
      <c r="I163" s="210"/>
      <c r="J163" s="41"/>
    </row>
    <row r="164" spans="1:9" ht="12.75">
      <c r="A164" s="255" t="s">
        <v>132</v>
      </c>
      <c r="B164" s="256"/>
      <c r="C164" s="256"/>
      <c r="D164" s="256"/>
      <c r="E164" s="256"/>
      <c r="F164" s="256"/>
      <c r="G164" s="256"/>
      <c r="H164" s="20"/>
      <c r="I164" s="211">
        <f>I161+I155+I149+I136+I122+I100+I92+I83+I74+I69+I58+I50+I44+I31+I22+I15</f>
        <v>291553.51209999993</v>
      </c>
    </row>
    <row r="165" spans="1:9" ht="12.75">
      <c r="A165" s="212"/>
      <c r="B165" s="213"/>
      <c r="C165" s="213"/>
      <c r="D165" s="214"/>
      <c r="E165" s="213"/>
      <c r="F165" s="213"/>
      <c r="G165" s="215"/>
      <c r="H165" s="215"/>
      <c r="I165" s="216"/>
    </row>
    <row r="166" spans="1:9" ht="12.75">
      <c r="A166" s="212"/>
      <c r="B166" s="68"/>
      <c r="C166" s="68"/>
      <c r="D166" s="69"/>
      <c r="E166" s="68"/>
      <c r="F166" s="68"/>
      <c r="G166" s="70"/>
      <c r="H166" s="70"/>
      <c r="I166" s="216"/>
    </row>
    <row r="167" spans="1:9" ht="12.75">
      <c r="A167" s="212"/>
      <c r="B167" s="71"/>
      <c r="C167" s="71"/>
      <c r="D167" s="72"/>
      <c r="E167" s="71"/>
      <c r="F167" s="71"/>
      <c r="G167" s="73"/>
      <c r="H167" s="70"/>
      <c r="I167" s="216"/>
    </row>
    <row r="168" spans="1:9" ht="19.5" customHeight="1">
      <c r="A168" s="212"/>
      <c r="B168" s="68"/>
      <c r="C168" s="68"/>
      <c r="D168" s="69"/>
      <c r="E168" s="68"/>
      <c r="F168" s="68"/>
      <c r="G168" s="70"/>
      <c r="H168" s="70"/>
      <c r="I168" s="216"/>
    </row>
    <row r="169" spans="1:9" ht="24.75" customHeight="1">
      <c r="A169" s="212"/>
      <c r="B169" s="213"/>
      <c r="C169" s="213"/>
      <c r="D169" s="196"/>
      <c r="E169" s="213"/>
      <c r="F169" s="213"/>
      <c r="G169" s="215"/>
      <c r="H169" s="215"/>
      <c r="I169" s="216"/>
    </row>
    <row r="170" spans="1:9" ht="24.75" customHeight="1">
      <c r="A170" s="212"/>
      <c r="B170" s="213"/>
      <c r="C170" s="213"/>
      <c r="D170" s="217"/>
      <c r="E170" s="213"/>
      <c r="F170" s="213"/>
      <c r="G170" s="215"/>
      <c r="H170" s="215"/>
      <c r="I170" s="216"/>
    </row>
    <row r="171" spans="1:9" ht="12.75">
      <c r="A171" s="212"/>
      <c r="B171" s="213"/>
      <c r="C171" s="213"/>
      <c r="D171" s="214"/>
      <c r="E171" s="213"/>
      <c r="F171" s="213"/>
      <c r="G171" s="215"/>
      <c r="H171" s="215"/>
      <c r="I171" s="216"/>
    </row>
    <row r="172" spans="1:9" ht="12.75">
      <c r="A172" s="212"/>
      <c r="B172" s="213"/>
      <c r="C172" s="213"/>
      <c r="D172" s="214"/>
      <c r="E172" s="213"/>
      <c r="F172" s="213"/>
      <c r="G172" s="215"/>
      <c r="H172" s="215"/>
      <c r="I172" s="216"/>
    </row>
    <row r="173" spans="1:9" ht="12.75">
      <c r="A173" s="212"/>
      <c r="B173" s="213"/>
      <c r="C173" s="213"/>
      <c r="D173" s="214"/>
      <c r="E173" s="213"/>
      <c r="F173" s="213"/>
      <c r="G173" s="215"/>
      <c r="H173" s="215"/>
      <c r="I173" s="216"/>
    </row>
    <row r="174" spans="1:9" ht="12.75">
      <c r="A174" s="212"/>
      <c r="B174" s="213"/>
      <c r="C174" s="213"/>
      <c r="D174" s="214"/>
      <c r="E174" s="213"/>
      <c r="F174" s="213"/>
      <c r="G174" s="215"/>
      <c r="H174" s="215"/>
      <c r="I174" s="216"/>
    </row>
    <row r="175" spans="1:9" ht="12.75">
      <c r="A175" s="212"/>
      <c r="B175" s="213"/>
      <c r="C175" s="213"/>
      <c r="D175" s="214"/>
      <c r="E175" s="213"/>
      <c r="F175" s="213"/>
      <c r="G175" s="215"/>
      <c r="H175" s="215"/>
      <c r="I175" s="216"/>
    </row>
    <row r="176" spans="1:9" ht="12.75">
      <c r="A176" s="212"/>
      <c r="B176" s="213"/>
      <c r="C176" s="213"/>
      <c r="D176" s="214"/>
      <c r="E176" s="213"/>
      <c r="F176" s="213"/>
      <c r="G176" s="215"/>
      <c r="H176" s="215"/>
      <c r="I176" s="216"/>
    </row>
    <row r="177" spans="1:9" ht="13.5" thickBot="1">
      <c r="A177" s="218"/>
      <c r="B177" s="219"/>
      <c r="C177" s="219"/>
      <c r="D177" s="220"/>
      <c r="E177" s="219"/>
      <c r="F177" s="219"/>
      <c r="G177" s="221"/>
      <c r="H177" s="221"/>
      <c r="I177" s="222"/>
    </row>
  </sheetData>
  <sheetProtection/>
  <mergeCells count="40">
    <mergeCell ref="D102:I102"/>
    <mergeCell ref="D124:I124"/>
    <mergeCell ref="D138:I138"/>
    <mergeCell ref="A164:G164"/>
    <mergeCell ref="A100:G100"/>
    <mergeCell ref="A122:G122"/>
    <mergeCell ref="A136:G136"/>
    <mergeCell ref="A149:G149"/>
    <mergeCell ref="A155:G155"/>
    <mergeCell ref="D151:I151"/>
    <mergeCell ref="D60:I60"/>
    <mergeCell ref="A74:G74"/>
    <mergeCell ref="A83:G83"/>
    <mergeCell ref="D76:I76"/>
    <mergeCell ref="D85:I85"/>
    <mergeCell ref="A1:I1"/>
    <mergeCell ref="A2:I2"/>
    <mergeCell ref="A8:I8"/>
    <mergeCell ref="D12:I12"/>
    <mergeCell ref="I5:I6"/>
    <mergeCell ref="D46:I46"/>
    <mergeCell ref="A31:G31"/>
    <mergeCell ref="A44:G44"/>
    <mergeCell ref="D17:I17"/>
    <mergeCell ref="D24:I24"/>
    <mergeCell ref="B4:H4"/>
    <mergeCell ref="B5:H5"/>
    <mergeCell ref="B6:H6"/>
    <mergeCell ref="A15:G15"/>
    <mergeCell ref="A22:G22"/>
    <mergeCell ref="A69:G69"/>
    <mergeCell ref="A161:G161"/>
    <mergeCell ref="D157:I157"/>
    <mergeCell ref="D33:I33"/>
    <mergeCell ref="A50:G50"/>
    <mergeCell ref="A58:G58"/>
    <mergeCell ref="D52:I52"/>
    <mergeCell ref="D71:I71"/>
    <mergeCell ref="D94:I94"/>
    <mergeCell ref="A92:G92"/>
  </mergeCells>
  <conditionalFormatting sqref="F136:H136 F149:H149 F155:H155 F161:H161 F164:H164 F10:H10 F15:H15 F22:H22 F31:H31 F44:H44 F50:H50 F58:H58 F69:H69 F74:H74 F83:H83 F92:H92 F100:H100 F122:H123">
    <cfRule type="cellIs" priority="1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2"/>
  <rowBreaks count="3" manualBreakCount="3">
    <brk id="51" max="8" man="1"/>
    <brk id="93" max="8" man="1"/>
    <brk id="14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0">
      <selection activeCell="E28" sqref="E28"/>
    </sheetView>
  </sheetViews>
  <sheetFormatPr defaultColWidth="9.140625" defaultRowHeight="12.75"/>
  <cols>
    <col min="1" max="1" width="22.57421875" style="0" customWidth="1"/>
    <col min="2" max="2" width="15.140625" style="0" customWidth="1"/>
  </cols>
  <sheetData>
    <row r="1" ht="12.75">
      <c r="A1" s="85" t="s">
        <v>179</v>
      </c>
    </row>
    <row r="2" spans="1:2" ht="12.75">
      <c r="A2" s="85" t="s">
        <v>180</v>
      </c>
      <c r="B2">
        <v>724.84</v>
      </c>
    </row>
    <row r="3" spans="1:2" ht="12.75">
      <c r="A3" s="85" t="s">
        <v>181</v>
      </c>
      <c r="B3">
        <v>120</v>
      </c>
    </row>
    <row r="4" spans="1:2" ht="12.75">
      <c r="A4" s="85" t="s">
        <v>182</v>
      </c>
      <c r="B4">
        <v>78</v>
      </c>
    </row>
    <row r="5" spans="1:2" ht="12.75">
      <c r="A5" s="85" t="s">
        <v>183</v>
      </c>
      <c r="B5">
        <f>336.62*2</f>
        <v>673.24</v>
      </c>
    </row>
    <row r="6" spans="1:2" ht="12.75">
      <c r="A6" s="85" t="s">
        <v>184</v>
      </c>
      <c r="B6">
        <v>380</v>
      </c>
    </row>
    <row r="7" spans="1:2" ht="12.75">
      <c r="A7" s="85" t="s">
        <v>185</v>
      </c>
      <c r="B7">
        <f>SUM(B2:B6)</f>
        <v>1976.08</v>
      </c>
    </row>
    <row r="8" spans="1:2" ht="12.75">
      <c r="A8" s="85" t="s">
        <v>186</v>
      </c>
      <c r="B8">
        <v>1976.08</v>
      </c>
    </row>
    <row r="9" ht="12.75">
      <c r="A9" s="85" t="s">
        <v>187</v>
      </c>
    </row>
    <row r="12" ht="12.75">
      <c r="A12" s="85" t="s">
        <v>179</v>
      </c>
    </row>
    <row r="13" spans="1:2" ht="12.75">
      <c r="A13" s="85" t="s">
        <v>180</v>
      </c>
      <c r="B13">
        <v>724.84</v>
      </c>
    </row>
    <row r="14" spans="1:2" ht="12.75">
      <c r="A14" s="85" t="s">
        <v>181</v>
      </c>
      <c r="B14">
        <v>120</v>
      </c>
    </row>
    <row r="15" ht="12.75">
      <c r="A15" s="85" t="s">
        <v>182</v>
      </c>
    </row>
    <row r="16" spans="1:2" ht="12.75">
      <c r="A16" s="85" t="s">
        <v>183</v>
      </c>
      <c r="B16">
        <f>336.62*2</f>
        <v>673.24</v>
      </c>
    </row>
    <row r="17" ht="12.75">
      <c r="A17" s="85" t="s">
        <v>184</v>
      </c>
    </row>
    <row r="18" spans="1:2" ht="12.75">
      <c r="A18" s="85" t="s">
        <v>185</v>
      </c>
      <c r="B18">
        <f>SUM(B13:B17)</f>
        <v>1518.08</v>
      </c>
    </row>
    <row r="19" spans="1:2" ht="12.75">
      <c r="A19" s="85" t="s">
        <v>186</v>
      </c>
      <c r="B19">
        <v>1976.08</v>
      </c>
    </row>
    <row r="20" ht="12.75">
      <c r="A20" s="85" t="s">
        <v>187</v>
      </c>
    </row>
    <row r="23" ht="12.75">
      <c r="A23" s="85" t="s">
        <v>179</v>
      </c>
    </row>
    <row r="24" spans="1:2" ht="12.75">
      <c r="A24" s="85" t="s">
        <v>180</v>
      </c>
      <c r="B24">
        <v>724.84</v>
      </c>
    </row>
    <row r="25" spans="1:2" ht="12.75">
      <c r="A25" s="85" t="s">
        <v>181</v>
      </c>
      <c r="B25">
        <v>120</v>
      </c>
    </row>
    <row r="26" spans="1:2" ht="12.75">
      <c r="A26" s="85" t="s">
        <v>182</v>
      </c>
      <c r="B26">
        <v>78</v>
      </c>
    </row>
    <row r="27" ht="12.75">
      <c r="A27" s="85" t="s">
        <v>183</v>
      </c>
    </row>
    <row r="28" ht="12.75">
      <c r="A28" s="85" t="s">
        <v>184</v>
      </c>
    </row>
    <row r="29" spans="1:2" ht="12.75">
      <c r="A29" s="85" t="s">
        <v>185</v>
      </c>
      <c r="B29">
        <f>SUM(B24:B28)</f>
        <v>922.84</v>
      </c>
    </row>
    <row r="30" spans="1:2" ht="12.75">
      <c r="A30" s="85" t="s">
        <v>186</v>
      </c>
      <c r="B30">
        <v>1976.08</v>
      </c>
    </row>
    <row r="31" ht="12.75">
      <c r="A31" s="85" t="s">
        <v>187</v>
      </c>
    </row>
    <row r="33" ht="12.75">
      <c r="B33">
        <v>922.84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showZeros="0" view="pageBreakPreview" zoomScale="75" zoomScaleNormal="75" zoomScaleSheetLayoutView="75" zoomScalePageLayoutView="0" workbookViewId="0" topLeftCell="A27">
      <selection activeCell="L34" sqref="L34"/>
    </sheetView>
  </sheetViews>
  <sheetFormatPr defaultColWidth="9.140625" defaultRowHeight="12.75"/>
  <cols>
    <col min="1" max="1" width="12.140625" style="95" customWidth="1"/>
    <col min="2" max="2" width="10.421875" style="95" customWidth="1"/>
    <col min="3" max="3" width="68.00390625" style="95" customWidth="1"/>
    <col min="4" max="4" width="14.28125" style="96" customWidth="1"/>
    <col min="5" max="5" width="19.421875" style="96" customWidth="1"/>
    <col min="6" max="6" width="16.421875" style="95" customWidth="1"/>
    <col min="7" max="7" width="16.28125" style="95" customWidth="1"/>
    <col min="8" max="8" width="16.421875" style="95" customWidth="1"/>
    <col min="9" max="9" width="15.140625" style="95" customWidth="1"/>
    <col min="10" max="11" width="16.140625" style="95" customWidth="1"/>
    <col min="12" max="16384" width="9.140625" style="95" customWidth="1"/>
  </cols>
  <sheetData>
    <row r="1" spans="1:10" ht="119.25" customHeight="1" thickBot="1">
      <c r="A1" s="281"/>
      <c r="B1" s="282"/>
      <c r="C1" s="282"/>
      <c r="D1" s="282"/>
      <c r="E1" s="282"/>
      <c r="F1" s="282"/>
      <c r="G1" s="282"/>
      <c r="H1" s="282"/>
      <c r="I1" s="282"/>
      <c r="J1" s="283"/>
    </row>
    <row r="2" spans="6:8" ht="2.25" customHeight="1" thickBot="1">
      <c r="F2" s="96"/>
      <c r="G2" s="96"/>
      <c r="H2" s="96"/>
    </row>
    <row r="3" spans="1:10" ht="16.5" thickBot="1">
      <c r="A3" s="293" t="s">
        <v>210</v>
      </c>
      <c r="B3" s="294"/>
      <c r="C3" s="294"/>
      <c r="D3" s="294"/>
      <c r="E3" s="294"/>
      <c r="F3" s="294"/>
      <c r="G3" s="294"/>
      <c r="H3" s="294"/>
      <c r="I3" s="294"/>
      <c r="J3" s="295"/>
    </row>
    <row r="4" ht="3.75" customHeight="1" thickBot="1"/>
    <row r="5" spans="1:10" ht="18" customHeight="1" thickBot="1">
      <c r="A5" s="296" t="s">
        <v>208</v>
      </c>
      <c r="B5" s="297"/>
      <c r="C5" s="297"/>
      <c r="D5" s="297"/>
      <c r="E5" s="297"/>
      <c r="F5" s="297"/>
      <c r="G5" s="297"/>
      <c r="H5" s="297"/>
      <c r="I5" s="297"/>
      <c r="J5" s="298"/>
    </row>
    <row r="6" spans="1:10" ht="18" customHeight="1" thickBot="1">
      <c r="A6" s="269" t="s">
        <v>214</v>
      </c>
      <c r="B6" s="270"/>
      <c r="C6" s="271"/>
      <c r="D6" s="139" t="s">
        <v>207</v>
      </c>
      <c r="E6" s="139"/>
      <c r="F6" s="278">
        <f>E42</f>
        <v>291553.51209999993</v>
      </c>
      <c r="G6" s="279"/>
      <c r="H6" s="280"/>
      <c r="I6" s="284" t="s">
        <v>396</v>
      </c>
      <c r="J6" s="285"/>
    </row>
    <row r="7" spans="1:10" ht="57.75" customHeight="1" thickBot="1">
      <c r="A7" s="275" t="s">
        <v>395</v>
      </c>
      <c r="B7" s="276"/>
      <c r="C7" s="277"/>
      <c r="D7" s="274" t="s">
        <v>260</v>
      </c>
      <c r="E7" s="274"/>
      <c r="F7" s="274"/>
      <c r="G7" s="274"/>
      <c r="H7" s="274"/>
      <c r="I7" s="284" t="s">
        <v>397</v>
      </c>
      <c r="J7" s="285"/>
    </row>
    <row r="8" spans="1:10" ht="36" customHeight="1">
      <c r="A8" s="119" t="s">
        <v>1</v>
      </c>
      <c r="B8" s="117" t="s">
        <v>206</v>
      </c>
      <c r="C8" s="117" t="s">
        <v>205</v>
      </c>
      <c r="D8" s="118" t="s">
        <v>204</v>
      </c>
      <c r="E8" s="118" t="s">
        <v>203</v>
      </c>
      <c r="F8" s="117" t="s">
        <v>202</v>
      </c>
      <c r="G8" s="117" t="s">
        <v>201</v>
      </c>
      <c r="H8" s="117" t="s">
        <v>200</v>
      </c>
      <c r="I8" s="117" t="s">
        <v>199</v>
      </c>
      <c r="J8" s="117" t="s">
        <v>198</v>
      </c>
    </row>
    <row r="9" spans="1:10" ht="14.25" customHeight="1">
      <c r="A9" s="257" t="s">
        <v>7</v>
      </c>
      <c r="B9" s="272"/>
      <c r="C9" s="272" t="s">
        <v>6</v>
      </c>
      <c r="D9" s="116" t="s">
        <v>196</v>
      </c>
      <c r="E9" s="114">
        <f>E10/E42</f>
        <v>0.009986597242571858</v>
      </c>
      <c r="F9" s="114">
        <v>1</v>
      </c>
      <c r="G9" s="114"/>
      <c r="H9" s="114"/>
      <c r="I9" s="113"/>
      <c r="J9" s="112"/>
    </row>
    <row r="10" spans="1:10" ht="14.25" customHeight="1">
      <c r="A10" s="258"/>
      <c r="B10" s="259"/>
      <c r="C10" s="259"/>
      <c r="D10" s="115" t="s">
        <v>195</v>
      </c>
      <c r="E10" s="111">
        <f>'PLANILHA '!I15</f>
        <v>2911.6275</v>
      </c>
      <c r="F10" s="111">
        <f>E10</f>
        <v>2911.6275</v>
      </c>
      <c r="G10" s="111"/>
      <c r="H10" s="111"/>
      <c r="I10" s="111"/>
      <c r="J10" s="111"/>
    </row>
    <row r="11" spans="1:10" ht="14.25" customHeight="1">
      <c r="A11" s="257" t="s">
        <v>12</v>
      </c>
      <c r="B11" s="259"/>
      <c r="C11" s="259" t="s">
        <v>21</v>
      </c>
      <c r="D11" s="115" t="s">
        <v>196</v>
      </c>
      <c r="E11" s="114">
        <f>E12/E42</f>
        <v>0.015422275545964865</v>
      </c>
      <c r="F11" s="114">
        <v>0.5</v>
      </c>
      <c r="G11" s="114">
        <v>0.5</v>
      </c>
      <c r="H11" s="114"/>
      <c r="I11" s="113"/>
      <c r="J11" s="112"/>
    </row>
    <row r="12" spans="1:10" ht="14.25" customHeight="1">
      <c r="A12" s="258"/>
      <c r="B12" s="259"/>
      <c r="C12" s="259"/>
      <c r="D12" s="115" t="s">
        <v>195</v>
      </c>
      <c r="E12" s="111">
        <f>'PLANILHA '!I22</f>
        <v>4496.4186</v>
      </c>
      <c r="F12" s="111">
        <f>E12/2</f>
        <v>2248.2093</v>
      </c>
      <c r="G12" s="111">
        <f>F12</f>
        <v>2248.2093</v>
      </c>
      <c r="H12" s="111"/>
      <c r="I12" s="111"/>
      <c r="J12" s="111"/>
    </row>
    <row r="13" spans="1:10" ht="14.25" customHeight="1">
      <c r="A13" s="257" t="s">
        <v>13</v>
      </c>
      <c r="B13" s="259"/>
      <c r="C13" s="259" t="s">
        <v>234</v>
      </c>
      <c r="D13" s="115" t="s">
        <v>196</v>
      </c>
      <c r="E13" s="114">
        <f>E14/E42</f>
        <v>0.10530463440093821</v>
      </c>
      <c r="F13" s="114">
        <v>0.5</v>
      </c>
      <c r="G13" s="114">
        <v>0.5</v>
      </c>
      <c r="H13" s="114"/>
      <c r="I13" s="113"/>
      <c r="J13" s="112"/>
    </row>
    <row r="14" spans="1:10" ht="14.25" customHeight="1">
      <c r="A14" s="258"/>
      <c r="B14" s="259"/>
      <c r="C14" s="259"/>
      <c r="D14" s="115" t="s">
        <v>195</v>
      </c>
      <c r="E14" s="111">
        <f>'PLANILHA '!I31</f>
        <v>30701.936000000005</v>
      </c>
      <c r="F14" s="111">
        <f>E14/2</f>
        <v>15350.968000000003</v>
      </c>
      <c r="G14" s="111">
        <f>F14</f>
        <v>15350.968000000003</v>
      </c>
      <c r="H14" s="111"/>
      <c r="I14" s="111"/>
      <c r="J14" s="111"/>
    </row>
    <row r="15" spans="1:10" ht="14.25" customHeight="1">
      <c r="A15" s="257" t="s">
        <v>14</v>
      </c>
      <c r="B15" s="259"/>
      <c r="C15" s="259" t="s">
        <v>233</v>
      </c>
      <c r="D15" s="115" t="s">
        <v>196</v>
      </c>
      <c r="E15" s="114">
        <f>E16/E42</f>
        <v>0.12580387605627477</v>
      </c>
      <c r="F15" s="114"/>
      <c r="G15" s="114">
        <v>0.75</v>
      </c>
      <c r="H15" s="114">
        <v>0.25</v>
      </c>
      <c r="I15" s="113"/>
      <c r="J15" s="112"/>
    </row>
    <row r="16" spans="1:10" ht="14.25" customHeight="1">
      <c r="A16" s="258"/>
      <c r="B16" s="259"/>
      <c r="C16" s="259"/>
      <c r="D16" s="115" t="s">
        <v>195</v>
      </c>
      <c r="E16" s="111">
        <f>'PLANILHA '!I44</f>
        <v>36678.5619</v>
      </c>
      <c r="F16" s="111"/>
      <c r="G16" s="111">
        <f>G15*E16</f>
        <v>27508.921425</v>
      </c>
      <c r="H16" s="111">
        <f>H15*E16</f>
        <v>9169.640475</v>
      </c>
      <c r="I16" s="111"/>
      <c r="J16" s="111"/>
    </row>
    <row r="17" spans="1:10" ht="14.25" customHeight="1">
      <c r="A17" s="257" t="s">
        <v>15</v>
      </c>
      <c r="B17" s="259"/>
      <c r="C17" s="259" t="s">
        <v>55</v>
      </c>
      <c r="D17" s="115" t="s">
        <v>196</v>
      </c>
      <c r="E17" s="114">
        <f>E18/E42</f>
        <v>0.055912211046899626</v>
      </c>
      <c r="F17" s="114"/>
      <c r="G17" s="114">
        <v>0.75</v>
      </c>
      <c r="H17" s="114">
        <v>0.25</v>
      </c>
      <c r="I17" s="113"/>
      <c r="J17" s="112"/>
    </row>
    <row r="18" spans="1:10" ht="14.25" customHeight="1">
      <c r="A18" s="258"/>
      <c r="B18" s="259"/>
      <c r="C18" s="259"/>
      <c r="D18" s="115" t="s">
        <v>195</v>
      </c>
      <c r="E18" s="111">
        <f>'PLANILHA '!I50</f>
        <v>16301.4015</v>
      </c>
      <c r="F18" s="111"/>
      <c r="G18" s="111">
        <f>G17*E18</f>
        <v>12226.051125</v>
      </c>
      <c r="H18" s="111">
        <f>H17*E18</f>
        <v>4075.350375</v>
      </c>
      <c r="I18" s="111"/>
      <c r="J18" s="111"/>
    </row>
    <row r="19" spans="1:10" ht="14.25" customHeight="1">
      <c r="A19" s="257" t="s">
        <v>16</v>
      </c>
      <c r="B19" s="259"/>
      <c r="C19" s="259" t="s">
        <v>62</v>
      </c>
      <c r="D19" s="115" t="s">
        <v>196</v>
      </c>
      <c r="E19" s="114">
        <f>E20/E42</f>
        <v>0.03288711952374386</v>
      </c>
      <c r="F19" s="114"/>
      <c r="G19" s="114"/>
      <c r="H19" s="114">
        <v>1</v>
      </c>
      <c r="I19" s="113"/>
      <c r="J19" s="112"/>
    </row>
    <row r="20" spans="1:10" ht="14.25" customHeight="1">
      <c r="A20" s="258"/>
      <c r="B20" s="259"/>
      <c r="C20" s="259"/>
      <c r="D20" s="115" t="s">
        <v>195</v>
      </c>
      <c r="E20" s="111">
        <f>'PLANILHA '!I58</f>
        <v>9588.3552</v>
      </c>
      <c r="F20" s="111"/>
      <c r="G20" s="111"/>
      <c r="H20" s="111">
        <f>E20</f>
        <v>9588.3552</v>
      </c>
      <c r="I20" s="111"/>
      <c r="J20" s="111"/>
    </row>
    <row r="21" spans="1:10" ht="14.25" customHeight="1">
      <c r="A21" s="257" t="s">
        <v>142</v>
      </c>
      <c r="B21" s="259"/>
      <c r="C21" s="259" t="s">
        <v>188</v>
      </c>
      <c r="D21" s="115" t="s">
        <v>196</v>
      </c>
      <c r="E21" s="114">
        <f>E22/E42</f>
        <v>0.21106638145690856</v>
      </c>
      <c r="F21" s="114"/>
      <c r="G21" s="114"/>
      <c r="H21" s="114"/>
      <c r="I21" s="113">
        <v>1</v>
      </c>
      <c r="J21" s="112"/>
    </row>
    <row r="22" spans="1:10" ht="14.25" customHeight="1">
      <c r="A22" s="258"/>
      <c r="B22" s="259"/>
      <c r="C22" s="259"/>
      <c r="D22" s="115" t="s">
        <v>195</v>
      </c>
      <c r="E22" s="111">
        <f>'PLANILHA '!I69</f>
        <v>61537.144799999995</v>
      </c>
      <c r="F22" s="111"/>
      <c r="G22" s="111"/>
      <c r="H22" s="111"/>
      <c r="I22" s="111">
        <f>E22</f>
        <v>61537.144799999995</v>
      </c>
      <c r="J22" s="111"/>
    </row>
    <row r="23" spans="1:10" ht="14.25" customHeight="1">
      <c r="A23" s="257" t="s">
        <v>143</v>
      </c>
      <c r="B23" s="259"/>
      <c r="C23" s="259" t="s">
        <v>72</v>
      </c>
      <c r="D23" s="115" t="s">
        <v>196</v>
      </c>
      <c r="E23" s="114">
        <f>E24/E42</f>
        <v>0.006692834484980298</v>
      </c>
      <c r="F23" s="114"/>
      <c r="G23" s="114"/>
      <c r="H23" s="114"/>
      <c r="I23" s="113">
        <v>1</v>
      </c>
      <c r="J23" s="112"/>
    </row>
    <row r="24" spans="1:10" ht="14.25" customHeight="1">
      <c r="A24" s="258"/>
      <c r="B24" s="259"/>
      <c r="C24" s="259"/>
      <c r="D24" s="115" t="s">
        <v>195</v>
      </c>
      <c r="E24" s="111">
        <f>'PLANILHA '!I74</f>
        <v>1951.3194</v>
      </c>
      <c r="F24" s="111"/>
      <c r="G24" s="111"/>
      <c r="H24" s="111"/>
      <c r="I24" s="111">
        <f>E24</f>
        <v>1951.3194</v>
      </c>
      <c r="J24" s="111"/>
    </row>
    <row r="25" spans="1:10" ht="14.25" customHeight="1">
      <c r="A25" s="257" t="s">
        <v>144</v>
      </c>
      <c r="B25" s="259"/>
      <c r="C25" s="259" t="s">
        <v>77</v>
      </c>
      <c r="D25" s="115" t="s">
        <v>196</v>
      </c>
      <c r="E25" s="114">
        <f>E26/E42</f>
        <v>0.09865550510032771</v>
      </c>
      <c r="F25" s="114"/>
      <c r="G25" s="114"/>
      <c r="H25" s="114">
        <v>0.5</v>
      </c>
      <c r="I25" s="113">
        <v>0.5</v>
      </c>
      <c r="J25" s="112"/>
    </row>
    <row r="26" spans="1:10" ht="14.25" customHeight="1">
      <c r="A26" s="258"/>
      <c r="B26" s="259"/>
      <c r="C26" s="259"/>
      <c r="D26" s="115" t="s">
        <v>195</v>
      </c>
      <c r="E26" s="111">
        <f>'PLANILHA '!I83</f>
        <v>28763.359</v>
      </c>
      <c r="F26" s="111"/>
      <c r="G26" s="111"/>
      <c r="H26" s="111">
        <f>E26*H25</f>
        <v>14381.6795</v>
      </c>
      <c r="I26" s="111">
        <f>H26</f>
        <v>14381.6795</v>
      </c>
      <c r="J26" s="111"/>
    </row>
    <row r="27" spans="1:10" ht="14.25" customHeight="1">
      <c r="A27" s="257" t="s">
        <v>145</v>
      </c>
      <c r="B27" s="259"/>
      <c r="C27" s="259" t="s">
        <v>85</v>
      </c>
      <c r="D27" s="115" t="s">
        <v>196</v>
      </c>
      <c r="E27" s="114">
        <f>E28/E42</f>
        <v>0.11709772986130323</v>
      </c>
      <c r="F27" s="114"/>
      <c r="G27" s="114"/>
      <c r="H27" s="114">
        <v>0.5</v>
      </c>
      <c r="I27" s="113">
        <v>0.5</v>
      </c>
      <c r="J27" s="112"/>
    </row>
    <row r="28" spans="1:10" ht="14.25" customHeight="1">
      <c r="A28" s="258"/>
      <c r="B28" s="259"/>
      <c r="C28" s="259"/>
      <c r="D28" s="115" t="s">
        <v>195</v>
      </c>
      <c r="E28" s="111">
        <f>'PLANILHA '!I92</f>
        <v>34140.2544</v>
      </c>
      <c r="F28" s="111"/>
      <c r="G28" s="111"/>
      <c r="H28" s="111">
        <f>H27*E28</f>
        <v>17070.1272</v>
      </c>
      <c r="I28" s="111">
        <f>H28</f>
        <v>17070.1272</v>
      </c>
      <c r="J28" s="111"/>
    </row>
    <row r="29" spans="1:10" ht="14.25" customHeight="1">
      <c r="A29" s="257" t="s">
        <v>146</v>
      </c>
      <c r="B29" s="268"/>
      <c r="C29" s="268" t="s">
        <v>98</v>
      </c>
      <c r="D29" s="115" t="s">
        <v>196</v>
      </c>
      <c r="E29" s="114">
        <f>E30/E42</f>
        <v>0.05549281908307358</v>
      </c>
      <c r="F29" s="114"/>
      <c r="G29" s="114"/>
      <c r="H29" s="114"/>
      <c r="I29" s="113">
        <v>1</v>
      </c>
      <c r="J29" s="112"/>
    </row>
    <row r="30" spans="1:11" ht="14.25" customHeight="1">
      <c r="A30" s="258"/>
      <c r="B30" s="268"/>
      <c r="C30" s="268"/>
      <c r="D30" s="115" t="s">
        <v>195</v>
      </c>
      <c r="E30" s="111">
        <f>'PLANILHA '!I100</f>
        <v>16179.126300000002</v>
      </c>
      <c r="F30" s="111"/>
      <c r="G30" s="111"/>
      <c r="H30" s="111"/>
      <c r="I30" s="111">
        <f>E30</f>
        <v>16179.126300000002</v>
      </c>
      <c r="J30" s="111"/>
      <c r="K30" s="121"/>
    </row>
    <row r="31" spans="1:10" ht="14.25" customHeight="1">
      <c r="A31" s="257" t="s">
        <v>216</v>
      </c>
      <c r="B31" s="268"/>
      <c r="C31" s="268" t="s">
        <v>107</v>
      </c>
      <c r="D31" s="115" t="s">
        <v>196</v>
      </c>
      <c r="E31" s="114">
        <f>E32/E42</f>
        <v>0.04578238452302288</v>
      </c>
      <c r="F31" s="114"/>
      <c r="G31" s="114"/>
      <c r="H31" s="114"/>
      <c r="I31" s="113">
        <v>1</v>
      </c>
      <c r="J31" s="112"/>
    </row>
    <row r="32" spans="1:10" ht="14.25" customHeight="1">
      <c r="A32" s="258"/>
      <c r="B32" s="268"/>
      <c r="C32" s="268"/>
      <c r="D32" s="115" t="s">
        <v>195</v>
      </c>
      <c r="E32" s="111">
        <f>'PLANILHA '!I122</f>
        <v>13348.015</v>
      </c>
      <c r="F32" s="111"/>
      <c r="G32" s="111"/>
      <c r="H32" s="111"/>
      <c r="I32" s="111">
        <f>E32</f>
        <v>13348.015</v>
      </c>
      <c r="J32" s="111"/>
    </row>
    <row r="33" spans="1:10" ht="14.25" customHeight="1">
      <c r="A33" s="257" t="s">
        <v>217</v>
      </c>
      <c r="B33" s="268"/>
      <c r="C33" s="268" t="s">
        <v>110</v>
      </c>
      <c r="D33" s="115" t="s">
        <v>196</v>
      </c>
      <c r="E33" s="114">
        <f>E34/E42</f>
        <v>0.03641721694080735</v>
      </c>
      <c r="F33" s="114"/>
      <c r="G33" s="114"/>
      <c r="H33" s="114"/>
      <c r="I33" s="113">
        <v>1</v>
      </c>
      <c r="J33" s="112"/>
    </row>
    <row r="34" spans="1:10" ht="14.25" customHeight="1">
      <c r="A34" s="258"/>
      <c r="B34" s="268"/>
      <c r="C34" s="268"/>
      <c r="D34" s="115" t="s">
        <v>195</v>
      </c>
      <c r="E34" s="111">
        <f>'PLANILHA '!I136</f>
        <v>10617.5675</v>
      </c>
      <c r="F34" s="111"/>
      <c r="G34" s="111"/>
      <c r="H34" s="111"/>
      <c r="I34" s="111">
        <f>E34</f>
        <v>10617.5675</v>
      </c>
      <c r="J34" s="111"/>
    </row>
    <row r="35" spans="1:10" ht="14.25" customHeight="1">
      <c r="A35" s="257" t="s">
        <v>218</v>
      </c>
      <c r="B35" s="268"/>
      <c r="C35" s="268" t="s">
        <v>115</v>
      </c>
      <c r="D35" s="115" t="s">
        <v>196</v>
      </c>
      <c r="E35" s="114">
        <f>E36/E42</f>
        <v>0.04918618505642075</v>
      </c>
      <c r="F35" s="114"/>
      <c r="G35" s="114"/>
      <c r="H35" s="114"/>
      <c r="I35" s="113">
        <v>1</v>
      </c>
      <c r="J35" s="112"/>
    </row>
    <row r="36" spans="1:10" ht="14.25" customHeight="1">
      <c r="A36" s="258"/>
      <c r="B36" s="268"/>
      <c r="C36" s="268"/>
      <c r="D36" s="115" t="s">
        <v>195</v>
      </c>
      <c r="E36" s="111">
        <f>'PLANILHA '!I149</f>
        <v>14340.405000000002</v>
      </c>
      <c r="F36" s="111"/>
      <c r="G36" s="111"/>
      <c r="H36" s="111"/>
      <c r="I36" s="111">
        <f>E36</f>
        <v>14340.405000000002</v>
      </c>
      <c r="J36" s="111"/>
    </row>
    <row r="37" spans="1:10" ht="14.25" customHeight="1">
      <c r="A37" s="257" t="s">
        <v>219</v>
      </c>
      <c r="B37" s="268"/>
      <c r="C37" s="268" t="s">
        <v>119</v>
      </c>
      <c r="D37" s="115" t="s">
        <v>196</v>
      </c>
      <c r="E37" s="114">
        <f>E38/E42</f>
        <v>0.007683117873852566</v>
      </c>
      <c r="F37" s="114"/>
      <c r="G37" s="114"/>
      <c r="H37" s="114"/>
      <c r="I37" s="113">
        <v>1</v>
      </c>
      <c r="J37" s="112"/>
    </row>
    <row r="38" spans="1:10" ht="14.25" customHeight="1">
      <c r="A38" s="258"/>
      <c r="B38" s="268"/>
      <c r="C38" s="268"/>
      <c r="D38" s="115" t="s">
        <v>195</v>
      </c>
      <c r="E38" s="111">
        <f>'PLANILHA '!I155</f>
        <v>2240.04</v>
      </c>
      <c r="F38" s="111"/>
      <c r="G38" s="111"/>
      <c r="H38" s="111"/>
      <c r="I38" s="111">
        <f>E38</f>
        <v>2240.04</v>
      </c>
      <c r="J38" s="111"/>
    </row>
    <row r="39" spans="1:10" ht="14.25" customHeight="1">
      <c r="A39" s="257" t="s">
        <v>225</v>
      </c>
      <c r="B39" s="268"/>
      <c r="C39" s="268" t="s">
        <v>383</v>
      </c>
      <c r="D39" s="115" t="s">
        <v>196</v>
      </c>
      <c r="E39" s="114">
        <f>E40/E42</f>
        <v>0.026609111802910094</v>
      </c>
      <c r="F39" s="114"/>
      <c r="G39" s="114"/>
      <c r="H39" s="114"/>
      <c r="I39" s="113">
        <v>1</v>
      </c>
      <c r="J39" s="112"/>
    </row>
    <row r="40" spans="1:10" ht="14.25" customHeight="1">
      <c r="A40" s="258"/>
      <c r="B40" s="268"/>
      <c r="C40" s="268"/>
      <c r="D40" s="115" t="s">
        <v>195</v>
      </c>
      <c r="E40" s="111">
        <f>'PLANILHA '!I161</f>
        <v>7757.98</v>
      </c>
      <c r="F40" s="111"/>
      <c r="G40" s="111"/>
      <c r="H40" s="111"/>
      <c r="I40" s="111">
        <f>E40</f>
        <v>7757.98</v>
      </c>
      <c r="J40" s="111"/>
    </row>
    <row r="41" spans="1:11" ht="14.25" customHeight="1">
      <c r="A41" s="261" t="s">
        <v>197</v>
      </c>
      <c r="B41" s="262"/>
      <c r="C41" s="263"/>
      <c r="D41" s="110" t="s">
        <v>196</v>
      </c>
      <c r="E41" s="109">
        <f>E9+E11+E13+E15+E19+E21+E23+E25+E27+E29+E31+E33+E35+E37+E39+E17</f>
        <v>1.0000000000000002</v>
      </c>
      <c r="F41" s="109">
        <f>F42/$E$42</f>
        <v>0.07035005221602339</v>
      </c>
      <c r="G41" s="109">
        <f>G42/$E$42</f>
        <v>0.19665052030083233</v>
      </c>
      <c r="H41" s="109"/>
      <c r="I41" s="109">
        <f>I42/$E$42</f>
        <v>0.5468066687027916</v>
      </c>
      <c r="J41" s="109">
        <f>J42/$E$42</f>
        <v>0</v>
      </c>
      <c r="K41" s="123"/>
    </row>
    <row r="42" spans="1:11" ht="13.5" customHeight="1" thickBot="1">
      <c r="A42" s="264"/>
      <c r="B42" s="265"/>
      <c r="C42" s="266"/>
      <c r="D42" s="108" t="s">
        <v>195</v>
      </c>
      <c r="E42" s="107">
        <f>E40+E38+E36+E34+E32+E30+E28+E26+E24+E22+E20+E18+E16+E14+E12+E10</f>
        <v>291553.51209999993</v>
      </c>
      <c r="F42" s="107">
        <f>F24+F16+F14+F12+F10</f>
        <v>20510.8048</v>
      </c>
      <c r="G42" s="107">
        <f>G18+G16+G14+G12+G10+G26+G28+G20+G22+G30+G32+G34+G36+G38+G40</f>
        <v>57334.14985</v>
      </c>
      <c r="H42" s="107">
        <f>H40+H38+H36+H34+H32+H30+H28+H26+H22+H20+H18+H16</f>
        <v>54285.15275</v>
      </c>
      <c r="I42" s="107">
        <f>I40+I36+I32+I30+I28+I26+I22+I20+I24+I34+I38</f>
        <v>159423.4047</v>
      </c>
      <c r="J42" s="107">
        <f>J38+J30+J26</f>
        <v>0</v>
      </c>
      <c r="K42" s="122"/>
    </row>
    <row r="43" spans="1:10" ht="1.5" customHeight="1" thickBot="1">
      <c r="A43" s="105"/>
      <c r="B43" s="105"/>
      <c r="C43" s="105"/>
      <c r="D43" s="106"/>
      <c r="E43" s="106"/>
      <c r="F43" s="105"/>
      <c r="G43" s="105"/>
      <c r="H43" s="105"/>
      <c r="I43" s="105"/>
      <c r="J43" s="105"/>
    </row>
    <row r="44" spans="1:10" ht="14.25" customHeight="1">
      <c r="A44" s="104"/>
      <c r="B44" s="103"/>
      <c r="C44" s="103"/>
      <c r="D44" s="103"/>
      <c r="E44" s="103"/>
      <c r="F44" s="103"/>
      <c r="G44" s="124"/>
      <c r="H44" s="286" t="s">
        <v>211</v>
      </c>
      <c r="I44" s="287"/>
      <c r="J44" s="287"/>
    </row>
    <row r="45" spans="1:11" ht="14.25" customHeight="1">
      <c r="A45" s="102"/>
      <c r="B45" s="101"/>
      <c r="C45" s="101"/>
      <c r="D45" s="125"/>
      <c r="E45" s="292" t="s">
        <v>213</v>
      </c>
      <c r="F45" s="292"/>
      <c r="G45" s="126"/>
      <c r="H45" s="288"/>
      <c r="I45" s="289"/>
      <c r="J45" s="289"/>
      <c r="K45" s="121"/>
    </row>
    <row r="46" spans="1:10" ht="14.25" customHeight="1">
      <c r="A46" s="100"/>
      <c r="B46" s="273" t="s">
        <v>212</v>
      </c>
      <c r="C46" s="273"/>
      <c r="D46" s="127"/>
      <c r="E46" s="260" t="s">
        <v>194</v>
      </c>
      <c r="F46" s="260"/>
      <c r="G46" s="128"/>
      <c r="H46" s="288"/>
      <c r="I46" s="289"/>
      <c r="J46" s="289"/>
    </row>
    <row r="47" spans="1:10" ht="15" customHeight="1">
      <c r="A47" s="99"/>
      <c r="B47" s="129"/>
      <c r="C47" s="129"/>
      <c r="D47" s="127"/>
      <c r="E47" s="127"/>
      <c r="F47" s="130"/>
      <c r="G47" s="131"/>
      <c r="H47" s="288"/>
      <c r="I47" s="289"/>
      <c r="J47" s="289"/>
    </row>
    <row r="48" spans="1:10" ht="13.5" customHeight="1">
      <c r="A48" s="98"/>
      <c r="B48" s="267"/>
      <c r="C48" s="267"/>
      <c r="D48" s="132"/>
      <c r="E48" s="132"/>
      <c r="F48" s="133"/>
      <c r="G48" s="131"/>
      <c r="H48" s="288"/>
      <c r="I48" s="289"/>
      <c r="J48" s="289"/>
    </row>
    <row r="49" spans="1:10" ht="14.25" customHeight="1">
      <c r="A49" s="97"/>
      <c r="B49" s="260"/>
      <c r="C49" s="260"/>
      <c r="D49" s="134"/>
      <c r="E49" s="134"/>
      <c r="F49" s="130"/>
      <c r="G49" s="131"/>
      <c r="H49" s="288"/>
      <c r="I49" s="289"/>
      <c r="J49" s="289"/>
    </row>
    <row r="50" spans="1:10" ht="13.5" customHeight="1" thickBot="1">
      <c r="A50" s="135"/>
      <c r="B50" s="136"/>
      <c r="C50" s="136"/>
      <c r="D50" s="137"/>
      <c r="E50" s="137"/>
      <c r="F50" s="136"/>
      <c r="G50" s="138"/>
      <c r="H50" s="290"/>
      <c r="I50" s="291"/>
      <c r="J50" s="291"/>
    </row>
  </sheetData>
  <sheetProtection/>
  <mergeCells count="64">
    <mergeCell ref="F6:H6"/>
    <mergeCell ref="A1:J1"/>
    <mergeCell ref="I7:J7"/>
    <mergeCell ref="H44:J50"/>
    <mergeCell ref="E45:F45"/>
    <mergeCell ref="B33:B34"/>
    <mergeCell ref="C33:C34"/>
    <mergeCell ref="A3:J3"/>
    <mergeCell ref="A5:J5"/>
    <mergeCell ref="I6:J6"/>
    <mergeCell ref="A31:A32"/>
    <mergeCell ref="B31:B32"/>
    <mergeCell ref="C31:C32"/>
    <mergeCell ref="A35:A36"/>
    <mergeCell ref="C35:C36"/>
    <mergeCell ref="A33:A34"/>
    <mergeCell ref="C11:C12"/>
    <mergeCell ref="D7:H7"/>
    <mergeCell ref="A7:C7"/>
    <mergeCell ref="B17:B18"/>
    <mergeCell ref="A9:A10"/>
    <mergeCell ref="A11:A12"/>
    <mergeCell ref="B13:B14"/>
    <mergeCell ref="C13:C14"/>
    <mergeCell ref="A17:A18"/>
    <mergeCell ref="C17:C18"/>
    <mergeCell ref="B46:C46"/>
    <mergeCell ref="C23:C24"/>
    <mergeCell ref="C27:C28"/>
    <mergeCell ref="C19:C20"/>
    <mergeCell ref="A39:A40"/>
    <mergeCell ref="B39:B40"/>
    <mergeCell ref="C39:C40"/>
    <mergeCell ref="A29:A30"/>
    <mergeCell ref="B29:B30"/>
    <mergeCell ref="C29:C30"/>
    <mergeCell ref="E46:F46"/>
    <mergeCell ref="B27:B28"/>
    <mergeCell ref="A37:A38"/>
    <mergeCell ref="B37:B38"/>
    <mergeCell ref="C37:C38"/>
    <mergeCell ref="A6:C6"/>
    <mergeCell ref="B9:B10"/>
    <mergeCell ref="C9:C10"/>
    <mergeCell ref="B11:B12"/>
    <mergeCell ref="A13:A14"/>
    <mergeCell ref="B49:C49"/>
    <mergeCell ref="A41:C42"/>
    <mergeCell ref="A21:A22"/>
    <mergeCell ref="B21:B22"/>
    <mergeCell ref="C21:C22"/>
    <mergeCell ref="C25:C26"/>
    <mergeCell ref="A27:A28"/>
    <mergeCell ref="B23:B24"/>
    <mergeCell ref="B48:C48"/>
    <mergeCell ref="B35:B36"/>
    <mergeCell ref="A15:A16"/>
    <mergeCell ref="C15:C16"/>
    <mergeCell ref="B19:B20"/>
    <mergeCell ref="B25:B26"/>
    <mergeCell ref="A23:A24"/>
    <mergeCell ref="A25:A26"/>
    <mergeCell ref="A19:A20"/>
    <mergeCell ref="B15:B16"/>
  </mergeCells>
  <printOptions horizontalCentered="1"/>
  <pageMargins left="0.3937007874015748" right="0.1968503937007874" top="0.5905511811023623" bottom="0.1968503937007874" header="0.1968503937007874" footer="0"/>
  <pageSetup fitToHeight="1" fitToWidth="1" horizontalDpi="300" verticalDpi="3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2"/>
  <sheetViews>
    <sheetView view="pageBreakPreview" zoomScale="90" zoomScaleNormal="98" zoomScaleSheetLayoutView="90" zoomScalePageLayoutView="0" workbookViewId="0" topLeftCell="A148">
      <selection activeCell="J156" sqref="J156"/>
    </sheetView>
  </sheetViews>
  <sheetFormatPr defaultColWidth="9.140625" defaultRowHeight="12.75"/>
  <cols>
    <col min="1" max="1" width="10.57421875" style="6" customWidth="1"/>
    <col min="2" max="2" width="10.140625" style="6" customWidth="1"/>
    <col min="3" max="3" width="13.140625" style="6" customWidth="1"/>
    <col min="4" max="4" width="62.28125" style="8" customWidth="1"/>
    <col min="5" max="5" width="8.00390625" style="6" customWidth="1"/>
    <col min="6" max="6" width="12.8515625" style="6" bestFit="1" customWidth="1"/>
    <col min="7" max="7" width="17.7109375" style="0" customWidth="1"/>
    <col min="8" max="8" width="15.8515625" style="0" customWidth="1"/>
    <col min="9" max="9" width="13.28125" style="0" customWidth="1"/>
    <col min="10" max="10" width="54.7109375" style="0" customWidth="1"/>
  </cols>
  <sheetData>
    <row r="1" spans="1:9" ht="110.25" customHeight="1" thickBot="1">
      <c r="A1" s="244"/>
      <c r="B1" s="245"/>
      <c r="C1" s="245"/>
      <c r="D1" s="245"/>
      <c r="E1" s="245"/>
      <c r="F1" s="245"/>
      <c r="G1" s="245"/>
      <c r="H1" s="245"/>
      <c r="I1" s="246"/>
    </row>
    <row r="2" spans="1:9" ht="18" customHeight="1" thickBot="1">
      <c r="A2" s="247" t="s">
        <v>210</v>
      </c>
      <c r="B2" s="248"/>
      <c r="C2" s="248"/>
      <c r="D2" s="248"/>
      <c r="E2" s="248"/>
      <c r="F2" s="248"/>
      <c r="G2" s="248"/>
      <c r="H2" s="248"/>
      <c r="I2" s="249"/>
    </row>
    <row r="3" spans="1:3" ht="10.5" customHeight="1" thickBot="1">
      <c r="A3" s="7"/>
      <c r="B3" s="7"/>
      <c r="C3" s="7"/>
    </row>
    <row r="4" spans="1:9" ht="44.25" customHeight="1" thickBot="1">
      <c r="A4" s="12" t="s">
        <v>122</v>
      </c>
      <c r="B4" s="235" t="s">
        <v>388</v>
      </c>
      <c r="C4" s="235"/>
      <c r="D4" s="235"/>
      <c r="E4" s="235"/>
      <c r="F4" s="235"/>
      <c r="G4" s="235"/>
      <c r="H4" s="236"/>
      <c r="I4" s="74" t="s">
        <v>133</v>
      </c>
    </row>
    <row r="5" spans="1:9" ht="12.75">
      <c r="A5" s="13" t="s">
        <v>123</v>
      </c>
      <c r="B5" s="237" t="s">
        <v>215</v>
      </c>
      <c r="C5" s="237"/>
      <c r="D5" s="237"/>
      <c r="E5" s="237"/>
      <c r="F5" s="237"/>
      <c r="G5" s="237"/>
      <c r="H5" s="238"/>
      <c r="I5" s="253">
        <v>0.25</v>
      </c>
    </row>
    <row r="6" spans="1:9" ht="13.5" thickBot="1">
      <c r="A6" s="14" t="s">
        <v>124</v>
      </c>
      <c r="B6" s="239" t="s">
        <v>235</v>
      </c>
      <c r="C6" s="239"/>
      <c r="D6" s="239"/>
      <c r="E6" s="239"/>
      <c r="F6" s="239"/>
      <c r="G6" s="239"/>
      <c r="H6" s="240"/>
      <c r="I6" s="254"/>
    </row>
    <row r="7" spans="1:9" ht="13.5" thickBot="1">
      <c r="A7" s="14" t="s">
        <v>394</v>
      </c>
      <c r="B7" s="154"/>
      <c r="C7" s="154"/>
      <c r="D7" s="154"/>
      <c r="E7" s="154"/>
      <c r="F7" s="154"/>
      <c r="G7" s="154"/>
      <c r="H7" s="154"/>
      <c r="I7" s="155"/>
    </row>
    <row r="8" spans="1:9" ht="15.75" thickBot="1">
      <c r="A8" s="250" t="s">
        <v>398</v>
      </c>
      <c r="B8" s="251"/>
      <c r="C8" s="251"/>
      <c r="D8" s="251"/>
      <c r="E8" s="251"/>
      <c r="F8" s="251"/>
      <c r="G8" s="251"/>
      <c r="H8" s="251"/>
      <c r="I8" s="252"/>
    </row>
    <row r="9" ht="5.25" customHeight="1"/>
    <row r="10" spans="1:9" ht="12.75">
      <c r="A10" s="2" t="s">
        <v>1</v>
      </c>
      <c r="B10" s="2" t="s">
        <v>134</v>
      </c>
      <c r="C10" s="2" t="s">
        <v>135</v>
      </c>
      <c r="D10" s="9" t="s">
        <v>2</v>
      </c>
      <c r="E10" s="2" t="s">
        <v>3</v>
      </c>
      <c r="F10" s="2" t="s">
        <v>4</v>
      </c>
      <c r="G10" s="331" t="s">
        <v>399</v>
      </c>
      <c r="H10" s="332"/>
      <c r="I10" s="333"/>
    </row>
    <row r="11" spans="1:9" ht="7.5" customHeight="1" thickBot="1">
      <c r="A11" s="53"/>
      <c r="B11" s="53"/>
      <c r="C11" s="53"/>
      <c r="D11" s="54"/>
      <c r="E11" s="53"/>
      <c r="F11" s="53"/>
      <c r="G11" s="36"/>
      <c r="H11" s="36"/>
      <c r="I11" s="36"/>
    </row>
    <row r="12" spans="1:9" ht="13.5" thickBot="1">
      <c r="A12" s="10" t="s">
        <v>7</v>
      </c>
      <c r="B12" s="22"/>
      <c r="C12" s="22"/>
      <c r="D12" s="226" t="s">
        <v>6</v>
      </c>
      <c r="E12" s="227"/>
      <c r="F12" s="227"/>
      <c r="G12" s="233"/>
      <c r="H12" s="233"/>
      <c r="I12" s="234"/>
    </row>
    <row r="13" spans="1:9" ht="12.75">
      <c r="A13" s="25" t="s">
        <v>12</v>
      </c>
      <c r="B13" s="75" t="s">
        <v>176</v>
      </c>
      <c r="C13" s="75" t="s">
        <v>139</v>
      </c>
      <c r="D13" s="26" t="s">
        <v>11</v>
      </c>
      <c r="E13" s="75" t="s">
        <v>8</v>
      </c>
      <c r="F13" s="55">
        <v>4.5</v>
      </c>
      <c r="G13" s="334" t="s">
        <v>400</v>
      </c>
      <c r="H13" s="335"/>
      <c r="I13" s="335"/>
    </row>
    <row r="14" spans="1:9" ht="12.75">
      <c r="A14" s="25" t="s">
        <v>146</v>
      </c>
      <c r="B14" s="76" t="s">
        <v>140</v>
      </c>
      <c r="C14" s="76" t="s">
        <v>136</v>
      </c>
      <c r="D14" s="27" t="s">
        <v>10</v>
      </c>
      <c r="E14" s="24" t="s">
        <v>8</v>
      </c>
      <c r="F14" s="57">
        <f>12.15*3.15+2*2+10*10</f>
        <v>142.2725</v>
      </c>
      <c r="G14" s="334" t="s">
        <v>401</v>
      </c>
      <c r="H14" s="335"/>
      <c r="I14" s="335"/>
    </row>
    <row r="15" spans="1:9" ht="12.75">
      <c r="A15" s="308"/>
      <c r="B15" s="309"/>
      <c r="C15" s="309"/>
      <c r="D15" s="309"/>
      <c r="E15" s="309"/>
      <c r="F15" s="309"/>
      <c r="G15" s="309"/>
      <c r="H15" s="309"/>
      <c r="I15" s="310"/>
    </row>
    <row r="16" spans="1:9" ht="9" customHeight="1" thickBot="1">
      <c r="A16" s="53"/>
      <c r="B16" s="53"/>
      <c r="C16" s="53"/>
      <c r="D16" s="54"/>
      <c r="E16" s="53"/>
      <c r="F16" s="53"/>
      <c r="G16" s="36"/>
      <c r="H16" s="36"/>
      <c r="I16" s="36"/>
    </row>
    <row r="17" spans="1:9" ht="13.5" thickBot="1">
      <c r="A17" s="10" t="s">
        <v>22</v>
      </c>
      <c r="B17" s="22"/>
      <c r="C17" s="22"/>
      <c r="D17" s="226" t="s">
        <v>21</v>
      </c>
      <c r="E17" s="227"/>
      <c r="F17" s="227"/>
      <c r="G17" s="227"/>
      <c r="H17" s="227"/>
      <c r="I17" s="228"/>
    </row>
    <row r="18" spans="1:9" ht="12.75">
      <c r="A18" s="25" t="s">
        <v>23</v>
      </c>
      <c r="B18" s="75" t="s">
        <v>147</v>
      </c>
      <c r="C18" s="44" t="s">
        <v>139</v>
      </c>
      <c r="D18" s="94" t="s">
        <v>153</v>
      </c>
      <c r="E18" s="49" t="s">
        <v>19</v>
      </c>
      <c r="F18" s="55">
        <f>F14*0.25</f>
        <v>35.568125</v>
      </c>
      <c r="G18" s="334" t="s">
        <v>402</v>
      </c>
      <c r="H18" s="335"/>
      <c r="I18" s="335"/>
    </row>
    <row r="19" spans="1:9" ht="25.5">
      <c r="A19" s="24" t="s">
        <v>24</v>
      </c>
      <c r="B19" s="24">
        <v>96522</v>
      </c>
      <c r="C19" s="34" t="s">
        <v>141</v>
      </c>
      <c r="D19" s="35" t="s">
        <v>154</v>
      </c>
      <c r="E19" s="28" t="s">
        <v>19</v>
      </c>
      <c r="F19" s="55">
        <f>4*0.6*0.6*0.6+10*0.8*0.8*0.8+10*0.6*0.6*0.6</f>
        <v>8.144</v>
      </c>
      <c r="G19" s="334" t="s">
        <v>403</v>
      </c>
      <c r="H19" s="335"/>
      <c r="I19" s="335"/>
    </row>
    <row r="20" spans="1:9" ht="12.75">
      <c r="A20" s="24" t="s">
        <v>25</v>
      </c>
      <c r="B20" s="24">
        <v>101616</v>
      </c>
      <c r="C20" s="24" t="s">
        <v>141</v>
      </c>
      <c r="D20" s="26" t="s">
        <v>20</v>
      </c>
      <c r="E20" s="24" t="s">
        <v>34</v>
      </c>
      <c r="F20" s="55">
        <f>4*0.6*0.6+10*0.8*0.8+10*0.6*0.6</f>
        <v>11.44</v>
      </c>
      <c r="G20" s="334" t="s">
        <v>404</v>
      </c>
      <c r="H20" s="335"/>
      <c r="I20" s="335"/>
    </row>
    <row r="21" spans="1:9" ht="12.75">
      <c r="A21" s="24" t="s">
        <v>26</v>
      </c>
      <c r="B21" s="77" t="s">
        <v>148</v>
      </c>
      <c r="C21" s="24" t="s">
        <v>139</v>
      </c>
      <c r="D21" s="27" t="s">
        <v>18</v>
      </c>
      <c r="E21" s="24" t="s">
        <v>19</v>
      </c>
      <c r="F21" s="55">
        <f>F18</f>
        <v>35.568125</v>
      </c>
      <c r="G21" s="334" t="s">
        <v>402</v>
      </c>
      <c r="H21" s="335"/>
      <c r="I21" s="335"/>
    </row>
    <row r="22" spans="1:9" ht="12.75">
      <c r="A22" s="308"/>
      <c r="B22" s="309"/>
      <c r="C22" s="309"/>
      <c r="D22" s="309"/>
      <c r="E22" s="309"/>
      <c r="F22" s="309"/>
      <c r="G22" s="309"/>
      <c r="H22" s="309"/>
      <c r="I22" s="310"/>
    </row>
    <row r="23" spans="1:9" ht="13.5" thickBot="1">
      <c r="A23" s="53"/>
      <c r="B23" s="53"/>
      <c r="C23" s="53"/>
      <c r="D23" s="54"/>
      <c r="E23" s="53"/>
      <c r="F23" s="53"/>
      <c r="G23" s="36"/>
      <c r="H23" s="36"/>
      <c r="I23" s="36"/>
    </row>
    <row r="24" spans="1:9" ht="13.5" thickBot="1">
      <c r="A24" s="10" t="s">
        <v>29</v>
      </c>
      <c r="B24" s="22"/>
      <c r="C24" s="22"/>
      <c r="D24" s="226" t="s">
        <v>236</v>
      </c>
      <c r="E24" s="227"/>
      <c r="F24" s="227"/>
      <c r="G24" s="227"/>
      <c r="H24" s="227"/>
      <c r="I24" s="228"/>
    </row>
    <row r="25" spans="1:9" ht="12.75">
      <c r="A25" s="25" t="s">
        <v>37</v>
      </c>
      <c r="B25" s="25"/>
      <c r="C25" s="25"/>
      <c r="D25" s="65" t="s">
        <v>30</v>
      </c>
      <c r="E25" s="25"/>
      <c r="F25" s="25"/>
      <c r="G25" s="324"/>
      <c r="H25" s="325"/>
      <c r="I25" s="326"/>
    </row>
    <row r="26" spans="1:9" ht="25.5">
      <c r="A26" s="24" t="s">
        <v>38</v>
      </c>
      <c r="B26" s="24">
        <v>96617</v>
      </c>
      <c r="C26" s="89" t="s">
        <v>141</v>
      </c>
      <c r="D26" s="66" t="s">
        <v>155</v>
      </c>
      <c r="E26" s="64" t="s">
        <v>34</v>
      </c>
      <c r="F26" s="82">
        <f>4*0.6*0.6+10*0.8*0.8+10*0.6*0.6</f>
        <v>11.44</v>
      </c>
      <c r="G26" s="327" t="s">
        <v>404</v>
      </c>
      <c r="H26" s="328"/>
      <c r="I26" s="329"/>
    </row>
    <row r="27" spans="1:9" ht="38.25">
      <c r="A27" s="24" t="s">
        <v>27</v>
      </c>
      <c r="B27" s="24">
        <v>104487</v>
      </c>
      <c r="C27" s="24" t="s">
        <v>141</v>
      </c>
      <c r="D27" s="157" t="s">
        <v>31</v>
      </c>
      <c r="E27" s="24" t="s">
        <v>19</v>
      </c>
      <c r="F27" s="82">
        <f>4*0.6*0.6*0.6+10*0.6*0.6*0.6+10*0.8*0.8*0.6</f>
        <v>6.863999999999999</v>
      </c>
      <c r="G27" s="327" t="s">
        <v>405</v>
      </c>
      <c r="H27" s="328"/>
      <c r="I27" s="329"/>
    </row>
    <row r="28" spans="1:9" ht="12.75">
      <c r="A28" s="24" t="s">
        <v>39</v>
      </c>
      <c r="B28" s="24"/>
      <c r="C28" s="24"/>
      <c r="D28" s="15" t="s">
        <v>32</v>
      </c>
      <c r="E28" s="24"/>
      <c r="F28" s="82"/>
      <c r="G28" s="330"/>
      <c r="H28" s="328"/>
      <c r="I28" s="329"/>
    </row>
    <row r="29" spans="1:10" ht="24.75" customHeight="1">
      <c r="A29" s="24" t="s">
        <v>40</v>
      </c>
      <c r="B29" s="24">
        <v>96617</v>
      </c>
      <c r="C29" s="24" t="s">
        <v>141</v>
      </c>
      <c r="D29" s="61" t="s">
        <v>33</v>
      </c>
      <c r="E29" s="60" t="s">
        <v>34</v>
      </c>
      <c r="F29" s="148">
        <f>81.3*0.2</f>
        <v>16.26</v>
      </c>
      <c r="G29" s="327" t="s">
        <v>406</v>
      </c>
      <c r="H29" s="328"/>
      <c r="I29" s="329"/>
      <c r="J29" s="41"/>
    </row>
    <row r="30" spans="1:10" ht="38.25">
      <c r="A30" s="24" t="s">
        <v>28</v>
      </c>
      <c r="B30" s="53">
        <v>104487</v>
      </c>
      <c r="C30" s="24" t="s">
        <v>141</v>
      </c>
      <c r="D30" s="84" t="s">
        <v>31</v>
      </c>
      <c r="E30" s="24" t="s">
        <v>19</v>
      </c>
      <c r="F30" s="82">
        <f>81.3*0.2*0.15</f>
        <v>2.439</v>
      </c>
      <c r="G30" s="327" t="s">
        <v>407</v>
      </c>
      <c r="H30" s="328"/>
      <c r="I30" s="329"/>
      <c r="J30" s="40"/>
    </row>
    <row r="31" spans="1:9" ht="12.75">
      <c r="A31" s="308"/>
      <c r="B31" s="309"/>
      <c r="C31" s="309"/>
      <c r="D31" s="309"/>
      <c r="E31" s="309"/>
      <c r="F31" s="309"/>
      <c r="G31" s="309"/>
      <c r="H31" s="309"/>
      <c r="I31" s="310"/>
    </row>
    <row r="32" spans="1:9" ht="13.5" thickBot="1">
      <c r="A32" s="53"/>
      <c r="B32" s="53"/>
      <c r="C32" s="53"/>
      <c r="D32" s="54"/>
      <c r="E32" s="53"/>
      <c r="F32" s="53"/>
      <c r="G32" s="36"/>
      <c r="H32" s="36"/>
      <c r="I32" s="36"/>
    </row>
    <row r="33" spans="1:10" ht="13.5" thickBot="1">
      <c r="A33" s="10" t="s">
        <v>44</v>
      </c>
      <c r="B33" s="22"/>
      <c r="C33" s="22"/>
      <c r="D33" s="226" t="s">
        <v>233</v>
      </c>
      <c r="E33" s="227"/>
      <c r="F33" s="227"/>
      <c r="G33" s="227"/>
      <c r="H33" s="227"/>
      <c r="I33" s="228"/>
      <c r="J33" s="41"/>
    </row>
    <row r="34" spans="1:10" ht="12.75">
      <c r="A34" s="25" t="s">
        <v>49</v>
      </c>
      <c r="B34" s="25"/>
      <c r="C34" s="25"/>
      <c r="D34" s="16" t="s">
        <v>45</v>
      </c>
      <c r="E34" s="25"/>
      <c r="F34" s="25"/>
      <c r="G34" s="324"/>
      <c r="H34" s="325"/>
      <c r="I34" s="326"/>
      <c r="J34" s="41"/>
    </row>
    <row r="35" spans="1:10" ht="38.25">
      <c r="A35" s="24" t="s">
        <v>41</v>
      </c>
      <c r="B35" s="24">
        <v>104487</v>
      </c>
      <c r="C35" s="24" t="s">
        <v>141</v>
      </c>
      <c r="D35" s="84" t="s">
        <v>31</v>
      </c>
      <c r="E35" s="24" t="s">
        <v>19</v>
      </c>
      <c r="F35" s="57">
        <f>10*5*0.2*0.2+14*3*0.14*0.3</f>
        <v>3.7640000000000002</v>
      </c>
      <c r="G35" s="311" t="s">
        <v>408</v>
      </c>
      <c r="H35" s="300"/>
      <c r="I35" s="301"/>
      <c r="J35" s="120"/>
    </row>
    <row r="36" spans="1:10" ht="25.5">
      <c r="A36" s="24" t="s">
        <v>50</v>
      </c>
      <c r="B36" s="24"/>
      <c r="C36" s="24"/>
      <c r="D36" s="15" t="s">
        <v>46</v>
      </c>
      <c r="E36" s="24"/>
      <c r="F36" s="57"/>
      <c r="G36" s="299"/>
      <c r="H36" s="300"/>
      <c r="I36" s="301"/>
      <c r="J36" s="41"/>
    </row>
    <row r="37" spans="1:10" ht="38.25">
      <c r="A37" s="24" t="s">
        <v>42</v>
      </c>
      <c r="B37" s="24">
        <v>104487</v>
      </c>
      <c r="C37" s="24" t="s">
        <v>141</v>
      </c>
      <c r="D37" s="84" t="s">
        <v>267</v>
      </c>
      <c r="E37" s="77" t="s">
        <v>19</v>
      </c>
      <c r="F37" s="57">
        <f>37.3*0.3*0.14</f>
        <v>1.5666</v>
      </c>
      <c r="G37" s="311" t="s">
        <v>409</v>
      </c>
      <c r="H37" s="300"/>
      <c r="I37" s="301"/>
      <c r="J37" s="40"/>
    </row>
    <row r="38" spans="1:10" ht="23.25" customHeight="1">
      <c r="A38" s="24" t="s">
        <v>51</v>
      </c>
      <c r="B38" s="24"/>
      <c r="C38" s="24"/>
      <c r="D38" s="15" t="s">
        <v>47</v>
      </c>
      <c r="E38" s="24"/>
      <c r="F38" s="57"/>
      <c r="G38" s="299"/>
      <c r="H38" s="300"/>
      <c r="I38" s="301"/>
      <c r="J38" s="41"/>
    </row>
    <row r="39" spans="1:10" ht="31.5" customHeight="1">
      <c r="A39" s="24" t="s">
        <v>52</v>
      </c>
      <c r="B39" s="24">
        <v>93186</v>
      </c>
      <c r="C39" s="24" t="s">
        <v>141</v>
      </c>
      <c r="D39" s="83" t="s">
        <v>177</v>
      </c>
      <c r="E39" s="77" t="s">
        <v>69</v>
      </c>
      <c r="F39" s="57">
        <v>2.4</v>
      </c>
      <c r="G39" s="311" t="s">
        <v>410</v>
      </c>
      <c r="H39" s="300"/>
      <c r="I39" s="301"/>
      <c r="J39" s="40"/>
    </row>
    <row r="40" spans="1:10" ht="19.5" customHeight="1">
      <c r="A40" s="24" t="s">
        <v>53</v>
      </c>
      <c r="B40" s="24"/>
      <c r="C40" s="24"/>
      <c r="D40" s="15" t="s">
        <v>48</v>
      </c>
      <c r="E40" s="24"/>
      <c r="F40" s="57"/>
      <c r="G40" s="299"/>
      <c r="H40" s="300"/>
      <c r="I40" s="301"/>
      <c r="J40" s="41"/>
    </row>
    <row r="41" spans="1:10" ht="25.5">
      <c r="A41" s="24" t="s">
        <v>43</v>
      </c>
      <c r="B41" s="77" t="s">
        <v>268</v>
      </c>
      <c r="C41" s="24" t="s">
        <v>139</v>
      </c>
      <c r="D41" s="84" t="s">
        <v>178</v>
      </c>
      <c r="E41" s="77" t="s">
        <v>34</v>
      </c>
      <c r="F41" s="57">
        <f>2*2+13.15*5.15</f>
        <v>71.72250000000001</v>
      </c>
      <c r="G41" s="311" t="s">
        <v>411</v>
      </c>
      <c r="H41" s="300"/>
      <c r="I41" s="301"/>
      <c r="J41" s="40"/>
    </row>
    <row r="42" spans="1:10" ht="38.25">
      <c r="A42" s="24" t="s">
        <v>269</v>
      </c>
      <c r="B42" s="77" t="s">
        <v>271</v>
      </c>
      <c r="C42" s="24" t="s">
        <v>139</v>
      </c>
      <c r="D42" s="84" t="s">
        <v>272</v>
      </c>
      <c r="E42" s="77" t="s">
        <v>34</v>
      </c>
      <c r="F42" s="57">
        <f>2*2+13.15*5.15</f>
        <v>71.72250000000001</v>
      </c>
      <c r="G42" s="311" t="s">
        <v>411</v>
      </c>
      <c r="H42" s="300"/>
      <c r="I42" s="301"/>
      <c r="J42" s="40"/>
    </row>
    <row r="43" spans="1:10" ht="38.25">
      <c r="A43" s="24" t="s">
        <v>270</v>
      </c>
      <c r="B43" s="77" t="s">
        <v>273</v>
      </c>
      <c r="C43" s="24" t="s">
        <v>139</v>
      </c>
      <c r="D43" s="84" t="s">
        <v>274</v>
      </c>
      <c r="E43" s="77" t="s">
        <v>34</v>
      </c>
      <c r="F43" s="57">
        <f>2*2+13.15*5.15</f>
        <v>71.72250000000001</v>
      </c>
      <c r="G43" s="311" t="s">
        <v>411</v>
      </c>
      <c r="H43" s="300"/>
      <c r="I43" s="301"/>
      <c r="J43" s="40"/>
    </row>
    <row r="44" spans="1:10" ht="12.75">
      <c r="A44" s="308"/>
      <c r="B44" s="309"/>
      <c r="C44" s="309"/>
      <c r="D44" s="309"/>
      <c r="E44" s="309"/>
      <c r="F44" s="309"/>
      <c r="G44" s="309"/>
      <c r="H44" s="309"/>
      <c r="I44" s="310"/>
      <c r="J44" s="41"/>
    </row>
    <row r="45" spans="1:9" ht="13.5" thickBot="1">
      <c r="A45" s="53"/>
      <c r="B45" s="53"/>
      <c r="C45" s="53"/>
      <c r="D45" s="54"/>
      <c r="E45" s="53"/>
      <c r="F45" s="53"/>
      <c r="G45" s="36"/>
      <c r="H45" s="36"/>
      <c r="I45" s="36"/>
    </row>
    <row r="46" spans="1:9" ht="13.5" thickBot="1">
      <c r="A46" s="10" t="s">
        <v>56</v>
      </c>
      <c r="B46" s="22"/>
      <c r="C46" s="22"/>
      <c r="D46" s="226" t="s">
        <v>55</v>
      </c>
      <c r="E46" s="227"/>
      <c r="F46" s="227"/>
      <c r="G46" s="227"/>
      <c r="H46" s="227"/>
      <c r="I46" s="228"/>
    </row>
    <row r="47" spans="1:9" ht="12.75">
      <c r="A47" s="77" t="s">
        <v>58</v>
      </c>
      <c r="B47" s="24"/>
      <c r="C47" s="24"/>
      <c r="D47" s="15" t="s">
        <v>57</v>
      </c>
      <c r="E47" s="24"/>
      <c r="F47" s="24"/>
      <c r="G47" s="324" t="s">
        <v>149</v>
      </c>
      <c r="H47" s="325"/>
      <c r="I47" s="326"/>
    </row>
    <row r="48" spans="1:10" ht="41.25" customHeight="1">
      <c r="A48" s="77" t="s">
        <v>59</v>
      </c>
      <c r="B48" s="24">
        <v>89290</v>
      </c>
      <c r="C48" s="77" t="s">
        <v>141</v>
      </c>
      <c r="D48" s="141" t="s">
        <v>220</v>
      </c>
      <c r="E48" s="77" t="s">
        <v>34</v>
      </c>
      <c r="F48" s="57">
        <f>37.3*4.2</f>
        <v>156.66</v>
      </c>
      <c r="G48" s="311" t="s">
        <v>412</v>
      </c>
      <c r="H48" s="300"/>
      <c r="I48" s="301"/>
      <c r="J48" s="40"/>
    </row>
    <row r="49" spans="1:10" ht="21.75" customHeight="1">
      <c r="A49" s="77" t="s">
        <v>231</v>
      </c>
      <c r="B49" s="77" t="s">
        <v>238</v>
      </c>
      <c r="C49" s="77" t="s">
        <v>139</v>
      </c>
      <c r="D49" s="141" t="s">
        <v>237</v>
      </c>
      <c r="E49" s="77" t="s">
        <v>34</v>
      </c>
      <c r="F49" s="57">
        <f>3.35*1.1</f>
        <v>3.6850000000000005</v>
      </c>
      <c r="G49" s="311" t="s">
        <v>413</v>
      </c>
      <c r="H49" s="300"/>
      <c r="I49" s="301"/>
      <c r="J49" s="40"/>
    </row>
    <row r="50" spans="1:10" ht="12.75">
      <c r="A50" s="308"/>
      <c r="B50" s="309"/>
      <c r="C50" s="309"/>
      <c r="D50" s="309"/>
      <c r="E50" s="309"/>
      <c r="F50" s="309"/>
      <c r="G50" s="309"/>
      <c r="H50" s="309"/>
      <c r="I50" s="310"/>
      <c r="J50" s="32"/>
    </row>
    <row r="51" spans="1:9" ht="13.5" thickBot="1">
      <c r="A51" s="53"/>
      <c r="B51" s="53"/>
      <c r="C51" s="53"/>
      <c r="D51" s="62"/>
      <c r="E51" s="53"/>
      <c r="F51" s="53"/>
      <c r="G51" s="36"/>
      <c r="H51" s="36"/>
      <c r="I51" s="36"/>
    </row>
    <row r="52" spans="1:9" ht="13.5" thickBot="1">
      <c r="A52" s="10" t="s">
        <v>61</v>
      </c>
      <c r="B52" s="22"/>
      <c r="C52" s="22"/>
      <c r="D52" s="229" t="s">
        <v>62</v>
      </c>
      <c r="E52" s="230"/>
      <c r="F52" s="230"/>
      <c r="G52" s="230"/>
      <c r="H52" s="230"/>
      <c r="I52" s="231"/>
    </row>
    <row r="53" spans="1:9" ht="12.75">
      <c r="A53" s="77" t="s">
        <v>221</v>
      </c>
      <c r="B53" s="24"/>
      <c r="C53" s="24"/>
      <c r="D53" s="15" t="s">
        <v>239</v>
      </c>
      <c r="E53" s="24"/>
      <c r="F53" s="24"/>
      <c r="G53" s="324"/>
      <c r="H53" s="325"/>
      <c r="I53" s="326"/>
    </row>
    <row r="54" spans="1:10" ht="63.75" customHeight="1">
      <c r="A54" s="77" t="s">
        <v>222</v>
      </c>
      <c r="B54" s="77" t="s">
        <v>240</v>
      </c>
      <c r="C54" s="78" t="s">
        <v>241</v>
      </c>
      <c r="D54" s="149" t="s">
        <v>242</v>
      </c>
      <c r="E54" s="77" t="s">
        <v>9</v>
      </c>
      <c r="F54" s="57">
        <v>2</v>
      </c>
      <c r="G54" s="299">
        <v>2</v>
      </c>
      <c r="H54" s="300"/>
      <c r="I54" s="301"/>
      <c r="J54" s="40"/>
    </row>
    <row r="55" spans="1:9" ht="33" customHeight="1">
      <c r="A55" s="77" t="s">
        <v>223</v>
      </c>
      <c r="B55" s="24"/>
      <c r="C55" s="24"/>
      <c r="D55" s="15" t="s">
        <v>131</v>
      </c>
      <c r="E55" s="24"/>
      <c r="F55" s="24"/>
      <c r="G55" s="320"/>
      <c r="H55" s="321"/>
      <c r="I55" s="322"/>
    </row>
    <row r="56" spans="1:10" ht="45" customHeight="1">
      <c r="A56" s="77" t="s">
        <v>224</v>
      </c>
      <c r="B56" s="77">
        <v>94559</v>
      </c>
      <c r="C56" s="77" t="s">
        <v>141</v>
      </c>
      <c r="D56" s="86" t="s">
        <v>243</v>
      </c>
      <c r="E56" s="77" t="s">
        <v>34</v>
      </c>
      <c r="F56" s="24">
        <f>4*1.8*0.6</f>
        <v>4.32</v>
      </c>
      <c r="G56" s="311" t="s">
        <v>414</v>
      </c>
      <c r="H56" s="300"/>
      <c r="I56" s="301"/>
      <c r="J56" s="42"/>
    </row>
    <row r="57" spans="1:10" ht="12.75">
      <c r="A57" s="77" t="s">
        <v>261</v>
      </c>
      <c r="B57" s="24">
        <v>102152</v>
      </c>
      <c r="C57" s="24" t="s">
        <v>141</v>
      </c>
      <c r="D57" s="86" t="s">
        <v>209</v>
      </c>
      <c r="E57" s="24" t="s">
        <v>34</v>
      </c>
      <c r="F57" s="24">
        <f>4*1.8*0.6</f>
        <v>4.32</v>
      </c>
      <c r="G57" s="311" t="s">
        <v>414</v>
      </c>
      <c r="H57" s="300"/>
      <c r="I57" s="301"/>
      <c r="J57" s="40"/>
    </row>
    <row r="58" spans="1:9" ht="12.75">
      <c r="A58" s="308"/>
      <c r="B58" s="309"/>
      <c r="C58" s="309"/>
      <c r="D58" s="309"/>
      <c r="E58" s="309"/>
      <c r="F58" s="309"/>
      <c r="G58" s="309"/>
      <c r="H58" s="309"/>
      <c r="I58" s="310"/>
    </row>
    <row r="59" spans="1:9" ht="13.5" thickBot="1">
      <c r="A59" s="53"/>
      <c r="B59" s="53"/>
      <c r="C59" s="53"/>
      <c r="D59" s="54"/>
      <c r="E59" s="53"/>
      <c r="F59" s="53"/>
      <c r="G59" s="36"/>
      <c r="H59" s="36"/>
      <c r="I59" s="36"/>
    </row>
    <row r="60" spans="1:9" ht="13.5" thickBot="1">
      <c r="A60" s="10" t="s">
        <v>64</v>
      </c>
      <c r="B60" s="22"/>
      <c r="C60" s="22"/>
      <c r="D60" s="232" t="s">
        <v>188</v>
      </c>
      <c r="E60" s="227"/>
      <c r="F60" s="227"/>
      <c r="G60" s="233"/>
      <c r="H60" s="233"/>
      <c r="I60" s="234"/>
    </row>
    <row r="61" spans="1:10" ht="35.25" customHeight="1">
      <c r="A61" s="25" t="s">
        <v>65</v>
      </c>
      <c r="B61" s="75">
        <v>92568</v>
      </c>
      <c r="C61" s="87" t="s">
        <v>141</v>
      </c>
      <c r="D61" s="79" t="s">
        <v>244</v>
      </c>
      <c r="E61" s="150" t="s">
        <v>34</v>
      </c>
      <c r="F61" s="151">
        <f>2*2+13.15*5.15+10*10*1.08+5*3*1.08</f>
        <v>195.9225</v>
      </c>
      <c r="G61" s="323" t="s">
        <v>415</v>
      </c>
      <c r="H61" s="323"/>
      <c r="I61" s="323"/>
      <c r="J61" s="40"/>
    </row>
    <row r="62" spans="1:10" ht="49.5" customHeight="1">
      <c r="A62" s="25" t="s">
        <v>66</v>
      </c>
      <c r="B62" s="75">
        <v>92258</v>
      </c>
      <c r="C62" s="87" t="s">
        <v>141</v>
      </c>
      <c r="D62" s="79" t="s">
        <v>276</v>
      </c>
      <c r="E62" s="150" t="s">
        <v>9</v>
      </c>
      <c r="F62" s="151">
        <v>8</v>
      </c>
      <c r="G62" s="323">
        <v>8</v>
      </c>
      <c r="H62" s="323"/>
      <c r="I62" s="323"/>
      <c r="J62" s="40"/>
    </row>
    <row r="63" spans="1:10" ht="19.5" customHeight="1">
      <c r="A63" s="25" t="s">
        <v>67</v>
      </c>
      <c r="B63" s="77">
        <v>94204</v>
      </c>
      <c r="C63" s="87" t="s">
        <v>141</v>
      </c>
      <c r="D63" s="88" t="s">
        <v>245</v>
      </c>
      <c r="E63" s="80" t="s">
        <v>34</v>
      </c>
      <c r="F63" s="77">
        <v>195.93</v>
      </c>
      <c r="G63" s="323" t="s">
        <v>415</v>
      </c>
      <c r="H63" s="323"/>
      <c r="I63" s="323"/>
      <c r="J63" s="43"/>
    </row>
    <row r="64" spans="1:10" ht="12.75">
      <c r="A64" s="25" t="s">
        <v>68</v>
      </c>
      <c r="B64" s="77">
        <v>94219</v>
      </c>
      <c r="C64" s="87" t="s">
        <v>141</v>
      </c>
      <c r="D64" s="88" t="s">
        <v>246</v>
      </c>
      <c r="E64" s="80" t="s">
        <v>69</v>
      </c>
      <c r="F64" s="77">
        <f>12.15+10+2+5</f>
        <v>29.15</v>
      </c>
      <c r="G64" s="323" t="s">
        <v>416</v>
      </c>
      <c r="H64" s="323"/>
      <c r="I64" s="323"/>
      <c r="J64" s="40"/>
    </row>
    <row r="65" spans="1:10" ht="12.75">
      <c r="A65" s="25" t="s">
        <v>189</v>
      </c>
      <c r="B65" s="77" t="s">
        <v>258</v>
      </c>
      <c r="C65" s="87" t="s">
        <v>139</v>
      </c>
      <c r="D65" s="88" t="s">
        <v>257</v>
      </c>
      <c r="E65" s="80" t="s">
        <v>69</v>
      </c>
      <c r="F65" s="77">
        <f>12.15+12.15+3.15+3.15+4</f>
        <v>34.599999999999994</v>
      </c>
      <c r="G65" s="323" t="s">
        <v>417</v>
      </c>
      <c r="H65" s="323"/>
      <c r="I65" s="323"/>
      <c r="J65" s="40"/>
    </row>
    <row r="66" spans="1:10" ht="38.25">
      <c r="A66" s="25" t="s">
        <v>275</v>
      </c>
      <c r="B66" s="77" t="s">
        <v>338</v>
      </c>
      <c r="C66" s="87" t="s">
        <v>139</v>
      </c>
      <c r="D66" s="79" t="s">
        <v>339</v>
      </c>
      <c r="E66" s="80" t="s">
        <v>69</v>
      </c>
      <c r="F66" s="77">
        <f>4*3.8+10*5.6</f>
        <v>71.2</v>
      </c>
      <c r="G66" s="323" t="s">
        <v>418</v>
      </c>
      <c r="H66" s="323"/>
      <c r="I66" s="323"/>
      <c r="J66" s="40"/>
    </row>
    <row r="67" spans="1:9" ht="25.5">
      <c r="A67" s="25" t="s">
        <v>340</v>
      </c>
      <c r="B67" s="77">
        <v>94227</v>
      </c>
      <c r="C67" s="89" t="s">
        <v>141</v>
      </c>
      <c r="D67" s="79" t="s">
        <v>156</v>
      </c>
      <c r="E67" s="80" t="s">
        <v>69</v>
      </c>
      <c r="F67" s="140">
        <f>20+12.15+12.5+10</f>
        <v>54.65</v>
      </c>
      <c r="G67" s="323" t="s">
        <v>419</v>
      </c>
      <c r="H67" s="323"/>
      <c r="I67" s="323"/>
    </row>
    <row r="68" spans="1:9" ht="12.75">
      <c r="A68" s="308"/>
      <c r="B68" s="309"/>
      <c r="C68" s="309"/>
      <c r="D68" s="309"/>
      <c r="E68" s="309"/>
      <c r="F68" s="309"/>
      <c r="G68" s="309"/>
      <c r="H68" s="309"/>
      <c r="I68" s="310"/>
    </row>
    <row r="69" spans="1:9" ht="13.5" thickBot="1">
      <c r="A69" s="53"/>
      <c r="B69" s="53"/>
      <c r="C69" s="53"/>
      <c r="D69" s="54"/>
      <c r="E69" s="53"/>
      <c r="F69" s="53"/>
      <c r="G69" s="36"/>
      <c r="H69" s="36"/>
      <c r="I69" s="36"/>
    </row>
    <row r="70" spans="1:9" ht="13.5" thickBot="1">
      <c r="A70" s="10" t="s">
        <v>71</v>
      </c>
      <c r="B70" s="22"/>
      <c r="C70" s="22"/>
      <c r="D70" s="226" t="s">
        <v>72</v>
      </c>
      <c r="E70" s="227"/>
      <c r="F70" s="227"/>
      <c r="G70" s="227"/>
      <c r="H70" s="227"/>
      <c r="I70" s="228"/>
    </row>
    <row r="71" spans="1:10" ht="27" customHeight="1">
      <c r="A71" s="25" t="s">
        <v>73</v>
      </c>
      <c r="B71" s="25">
        <v>98557</v>
      </c>
      <c r="C71" s="75" t="s">
        <v>141</v>
      </c>
      <c r="D71" s="83" t="s">
        <v>173</v>
      </c>
      <c r="E71" s="25" t="s">
        <v>69</v>
      </c>
      <c r="F71" s="55">
        <f>37.3*0.2+37.15*0.14+20*0.2*2+20*0.14</f>
        <v>23.461000000000002</v>
      </c>
      <c r="G71" s="336" t="s">
        <v>420</v>
      </c>
      <c r="H71" s="313"/>
      <c r="I71" s="314"/>
      <c r="J71" s="37"/>
    </row>
    <row r="72" spans="1:10" ht="25.5">
      <c r="A72" s="24" t="s">
        <v>74</v>
      </c>
      <c r="B72" s="77">
        <v>98562</v>
      </c>
      <c r="C72" s="77" t="s">
        <v>141</v>
      </c>
      <c r="D72" s="46" t="s">
        <v>157</v>
      </c>
      <c r="E72" s="24" t="s">
        <v>34</v>
      </c>
      <c r="F72" s="55">
        <f>12.15*0.6*2</f>
        <v>14.58</v>
      </c>
      <c r="G72" s="311" t="s">
        <v>421</v>
      </c>
      <c r="H72" s="300"/>
      <c r="I72" s="301"/>
      <c r="J72" s="36"/>
    </row>
    <row r="73" spans="1:10" ht="12.75">
      <c r="A73" s="308"/>
      <c r="B73" s="309"/>
      <c r="C73" s="309"/>
      <c r="D73" s="309"/>
      <c r="E73" s="309"/>
      <c r="F73" s="309"/>
      <c r="G73" s="309"/>
      <c r="H73" s="309"/>
      <c r="I73" s="310"/>
      <c r="J73" s="36" t="s">
        <v>149</v>
      </c>
    </row>
    <row r="74" spans="1:9" ht="13.5" thickBot="1">
      <c r="A74" s="53"/>
      <c r="B74" s="53"/>
      <c r="C74" s="53"/>
      <c r="D74" s="54"/>
      <c r="E74" s="53"/>
      <c r="F74" s="53"/>
      <c r="G74" s="36"/>
      <c r="H74" s="36"/>
      <c r="I74" s="36"/>
    </row>
    <row r="75" spans="1:9" ht="13.5" thickBot="1">
      <c r="A75" s="10" t="s">
        <v>76</v>
      </c>
      <c r="B75" s="22"/>
      <c r="C75" s="22"/>
      <c r="D75" s="241" t="s">
        <v>77</v>
      </c>
      <c r="E75" s="242"/>
      <c r="F75" s="242"/>
      <c r="G75" s="242"/>
      <c r="H75" s="242"/>
      <c r="I75" s="243"/>
    </row>
    <row r="76" spans="1:9" ht="29.25" customHeight="1">
      <c r="A76" s="25" t="s">
        <v>78</v>
      </c>
      <c r="B76" s="50" t="s">
        <v>279</v>
      </c>
      <c r="C76" s="75" t="s">
        <v>139</v>
      </c>
      <c r="D76" s="38" t="s">
        <v>174</v>
      </c>
      <c r="E76" s="25" t="s">
        <v>34</v>
      </c>
      <c r="F76" s="142">
        <f>F48*2</f>
        <v>313.32</v>
      </c>
      <c r="G76" s="311" t="s">
        <v>422</v>
      </c>
      <c r="H76" s="300"/>
      <c r="I76" s="301"/>
    </row>
    <row r="77" spans="1:9" ht="12.75">
      <c r="A77" s="24" t="s">
        <v>79</v>
      </c>
      <c r="B77" s="51" t="s">
        <v>278</v>
      </c>
      <c r="C77" s="75" t="s">
        <v>277</v>
      </c>
      <c r="D77" s="35" t="s">
        <v>158</v>
      </c>
      <c r="E77" s="24" t="s">
        <v>34</v>
      </c>
      <c r="F77" s="142">
        <f>F41</f>
        <v>71.72250000000001</v>
      </c>
      <c r="G77" s="311" t="s">
        <v>411</v>
      </c>
      <c r="H77" s="300"/>
      <c r="I77" s="301"/>
    </row>
    <row r="78" spans="1:10" ht="12.75">
      <c r="A78" s="24" t="s">
        <v>80</v>
      </c>
      <c r="B78" s="77" t="s">
        <v>281</v>
      </c>
      <c r="C78" s="77" t="s">
        <v>277</v>
      </c>
      <c r="D78" s="39" t="s">
        <v>159</v>
      </c>
      <c r="E78" s="24" t="s">
        <v>34</v>
      </c>
      <c r="F78" s="142">
        <f>F76</f>
        <v>313.32</v>
      </c>
      <c r="G78" s="311" t="s">
        <v>422</v>
      </c>
      <c r="H78" s="300"/>
      <c r="I78" s="301"/>
      <c r="J78" s="40"/>
    </row>
    <row r="79" spans="1:10" ht="25.5">
      <c r="A79" s="24" t="s">
        <v>81</v>
      </c>
      <c r="B79" s="77" t="s">
        <v>281</v>
      </c>
      <c r="C79" s="77" t="s">
        <v>139</v>
      </c>
      <c r="D79" s="39" t="s">
        <v>160</v>
      </c>
      <c r="E79" s="24" t="s">
        <v>34</v>
      </c>
      <c r="F79" s="142">
        <f>F77</f>
        <v>71.72250000000001</v>
      </c>
      <c r="G79" s="311" t="s">
        <v>411</v>
      </c>
      <c r="H79" s="300"/>
      <c r="I79" s="301"/>
      <c r="J79" s="40"/>
    </row>
    <row r="80" spans="1:10" ht="12.75">
      <c r="A80" s="24" t="s">
        <v>82</v>
      </c>
      <c r="B80" s="77" t="s">
        <v>253</v>
      </c>
      <c r="C80" s="77" t="s">
        <v>139</v>
      </c>
      <c r="D80" s="141" t="s">
        <v>252</v>
      </c>
      <c r="E80" s="77" t="s">
        <v>69</v>
      </c>
      <c r="F80" s="142">
        <f>12.15+12.15+9+6</f>
        <v>39.3</v>
      </c>
      <c r="G80" s="311" t="s">
        <v>423</v>
      </c>
      <c r="H80" s="300"/>
      <c r="I80" s="301"/>
      <c r="J80" s="40"/>
    </row>
    <row r="81" spans="1:10" ht="25.5">
      <c r="A81" s="24" t="s">
        <v>83</v>
      </c>
      <c r="B81" s="77" t="s">
        <v>282</v>
      </c>
      <c r="C81" s="77" t="s">
        <v>139</v>
      </c>
      <c r="D81" s="141" t="s">
        <v>247</v>
      </c>
      <c r="E81" s="24" t="s">
        <v>34</v>
      </c>
      <c r="F81" s="142">
        <f>(12.15+12.15+3.15)*1.2+(12.15+12.15+9)*1.2</f>
        <v>72.89999999999999</v>
      </c>
      <c r="G81" s="311" t="s">
        <v>424</v>
      </c>
      <c r="H81" s="300"/>
      <c r="I81" s="301"/>
      <c r="J81" s="40"/>
    </row>
    <row r="82" spans="1:9" ht="12.75">
      <c r="A82" s="308"/>
      <c r="B82" s="309"/>
      <c r="C82" s="309"/>
      <c r="D82" s="309"/>
      <c r="E82" s="309"/>
      <c r="F82" s="309"/>
      <c r="G82" s="309"/>
      <c r="H82" s="309"/>
      <c r="I82" s="310"/>
    </row>
    <row r="83" spans="1:9" ht="13.5" thickBot="1">
      <c r="A83" s="53"/>
      <c r="B83" s="53"/>
      <c r="C83" s="53"/>
      <c r="D83" s="54"/>
      <c r="E83" s="53"/>
      <c r="F83" s="53"/>
      <c r="G83" s="36"/>
      <c r="H83" s="36"/>
      <c r="I83" s="36"/>
    </row>
    <row r="84" spans="1:9" ht="12.75">
      <c r="A84" s="17" t="s">
        <v>86</v>
      </c>
      <c r="B84" s="23"/>
      <c r="C84" s="23"/>
      <c r="D84" s="232" t="s">
        <v>85</v>
      </c>
      <c r="E84" s="233"/>
      <c r="F84" s="233"/>
      <c r="G84" s="233"/>
      <c r="H84" s="233"/>
      <c r="I84" s="234"/>
    </row>
    <row r="85" spans="1:9" ht="25.5">
      <c r="A85" s="24" t="s">
        <v>87</v>
      </c>
      <c r="B85" s="77">
        <v>98555</v>
      </c>
      <c r="C85" s="77" t="s">
        <v>141</v>
      </c>
      <c r="D85" s="79" t="s">
        <v>175</v>
      </c>
      <c r="E85" s="77" t="s">
        <v>34</v>
      </c>
      <c r="F85" s="140">
        <f>10*10+12.15*3.15</f>
        <v>138.2725</v>
      </c>
      <c r="G85" s="311" t="s">
        <v>425</v>
      </c>
      <c r="H85" s="315"/>
      <c r="I85" s="316"/>
    </row>
    <row r="86" spans="1:9" ht="12.75">
      <c r="A86" s="24" t="s">
        <v>88</v>
      </c>
      <c r="B86" s="77" t="s">
        <v>390</v>
      </c>
      <c r="C86" s="77" t="s">
        <v>390</v>
      </c>
      <c r="D86" s="79" t="s">
        <v>389</v>
      </c>
      <c r="E86" s="77" t="s">
        <v>34</v>
      </c>
      <c r="F86" s="140">
        <v>100</v>
      </c>
      <c r="G86" s="311" t="s">
        <v>426</v>
      </c>
      <c r="H86" s="315"/>
      <c r="I86" s="316"/>
    </row>
    <row r="87" spans="1:9" ht="72.75" customHeight="1">
      <c r="A87" s="24" t="s">
        <v>89</v>
      </c>
      <c r="B87" s="51" t="s">
        <v>283</v>
      </c>
      <c r="C87" s="77" t="s">
        <v>139</v>
      </c>
      <c r="D87" s="149" t="s">
        <v>284</v>
      </c>
      <c r="E87" s="77" t="s">
        <v>34</v>
      </c>
      <c r="F87" s="140">
        <f>F85</f>
        <v>138.2725</v>
      </c>
      <c r="G87" s="317" t="s">
        <v>425</v>
      </c>
      <c r="H87" s="318"/>
      <c r="I87" s="319"/>
    </row>
    <row r="88" spans="1:9" ht="25.5">
      <c r="A88" s="24" t="s">
        <v>90</v>
      </c>
      <c r="B88" s="77" t="s">
        <v>248</v>
      </c>
      <c r="C88" s="77" t="s">
        <v>139</v>
      </c>
      <c r="D88" s="79" t="s">
        <v>249</v>
      </c>
      <c r="E88" s="77" t="s">
        <v>34</v>
      </c>
      <c r="F88" s="140">
        <f>12.15*3.15</f>
        <v>38.2725</v>
      </c>
      <c r="G88" s="311" t="s">
        <v>427</v>
      </c>
      <c r="H88" s="315"/>
      <c r="I88" s="316"/>
    </row>
    <row r="89" spans="1:9" ht="12.75">
      <c r="A89" s="24" t="s">
        <v>91</v>
      </c>
      <c r="B89" s="77" t="s">
        <v>250</v>
      </c>
      <c r="C89" s="77" t="s">
        <v>139</v>
      </c>
      <c r="D89" s="79" t="s">
        <v>251</v>
      </c>
      <c r="E89" s="77" t="s">
        <v>34</v>
      </c>
      <c r="F89" s="140">
        <f>F88</f>
        <v>38.2725</v>
      </c>
      <c r="G89" s="311" t="s">
        <v>427</v>
      </c>
      <c r="H89" s="315"/>
      <c r="I89" s="316"/>
    </row>
    <row r="90" spans="1:9" ht="25.5">
      <c r="A90" s="24" t="s">
        <v>359</v>
      </c>
      <c r="B90" s="77" t="s">
        <v>358</v>
      </c>
      <c r="C90" s="77" t="s">
        <v>139</v>
      </c>
      <c r="D90" s="79" t="s">
        <v>360</v>
      </c>
      <c r="E90" s="77" t="s">
        <v>34</v>
      </c>
      <c r="F90" s="140">
        <f>(12.15+12.15+3.15+3.15)*1.4</f>
        <v>42.839999999999996</v>
      </c>
      <c r="G90" s="311" t="s">
        <v>428</v>
      </c>
      <c r="H90" s="315"/>
      <c r="I90" s="316"/>
    </row>
    <row r="91" spans="1:9" ht="12.75">
      <c r="A91" s="308"/>
      <c r="B91" s="309"/>
      <c r="C91" s="309"/>
      <c r="D91" s="309"/>
      <c r="E91" s="309"/>
      <c r="F91" s="309"/>
      <c r="G91" s="309"/>
      <c r="H91" s="309"/>
      <c r="I91" s="310"/>
    </row>
    <row r="92" spans="1:9" ht="13.5" thickBot="1">
      <c r="A92" s="53"/>
      <c r="B92" s="53"/>
      <c r="C92" s="53"/>
      <c r="D92" s="54"/>
      <c r="E92" s="53"/>
      <c r="F92" s="53"/>
      <c r="G92" s="36"/>
      <c r="H92" s="36"/>
      <c r="I92" s="36"/>
    </row>
    <row r="93" spans="1:9" ht="12.75">
      <c r="A93" s="17" t="s">
        <v>93</v>
      </c>
      <c r="B93" s="23"/>
      <c r="C93" s="23"/>
      <c r="D93" s="232" t="s">
        <v>98</v>
      </c>
      <c r="E93" s="233"/>
      <c r="F93" s="233"/>
      <c r="G93" s="233"/>
      <c r="H93" s="233"/>
      <c r="I93" s="234"/>
    </row>
    <row r="94" spans="1:10" ht="36" customHeight="1">
      <c r="A94" s="77" t="s">
        <v>95</v>
      </c>
      <c r="B94" s="77" t="s">
        <v>161</v>
      </c>
      <c r="C94" s="24" t="s">
        <v>136</v>
      </c>
      <c r="D94" s="79" t="s">
        <v>254</v>
      </c>
      <c r="E94" s="24" t="s">
        <v>34</v>
      </c>
      <c r="F94" s="57">
        <f>60.32*1.9+60.32*3</f>
        <v>295.568</v>
      </c>
      <c r="G94" s="302" t="s">
        <v>429</v>
      </c>
      <c r="H94" s="303"/>
      <c r="I94" s="304"/>
      <c r="J94" s="40"/>
    </row>
    <row r="95" spans="1:10" ht="33.75" customHeight="1">
      <c r="A95" s="77" t="s">
        <v>96</v>
      </c>
      <c r="B95" s="77" t="s">
        <v>161</v>
      </c>
      <c r="C95" s="24" t="s">
        <v>136</v>
      </c>
      <c r="D95" s="79" t="s">
        <v>228</v>
      </c>
      <c r="E95" s="24" t="s">
        <v>34</v>
      </c>
      <c r="F95" s="57">
        <f>F41</f>
        <v>71.72250000000001</v>
      </c>
      <c r="G95" s="311" t="s">
        <v>411</v>
      </c>
      <c r="H95" s="300"/>
      <c r="I95" s="301"/>
      <c r="J95" s="40"/>
    </row>
    <row r="96" spans="1:10" ht="35.25" customHeight="1">
      <c r="A96" s="77" t="s">
        <v>97</v>
      </c>
      <c r="B96" s="24">
        <v>88489</v>
      </c>
      <c r="C96" s="24" t="s">
        <v>141</v>
      </c>
      <c r="D96" s="35" t="s">
        <v>163</v>
      </c>
      <c r="E96" s="24" t="s">
        <v>34</v>
      </c>
      <c r="F96" s="57">
        <f>F94</f>
        <v>295.568</v>
      </c>
      <c r="G96" s="311" t="s">
        <v>429</v>
      </c>
      <c r="H96" s="300"/>
      <c r="I96" s="301"/>
      <c r="J96" s="40"/>
    </row>
    <row r="97" spans="1:10" ht="35.25" customHeight="1">
      <c r="A97" s="77" t="s">
        <v>226</v>
      </c>
      <c r="B97" s="24">
        <v>88488</v>
      </c>
      <c r="C97" s="24" t="s">
        <v>141</v>
      </c>
      <c r="D97" s="90" t="s">
        <v>193</v>
      </c>
      <c r="E97" s="24" t="s">
        <v>34</v>
      </c>
      <c r="F97" s="57">
        <f>F95</f>
        <v>71.72250000000001</v>
      </c>
      <c r="G97" s="311" t="s">
        <v>411</v>
      </c>
      <c r="H97" s="300"/>
      <c r="I97" s="301"/>
      <c r="J97" s="40"/>
    </row>
    <row r="98" spans="1:10" ht="28.5" customHeight="1">
      <c r="A98" s="77" t="s">
        <v>227</v>
      </c>
      <c r="B98" s="77" t="s">
        <v>162</v>
      </c>
      <c r="C98" s="24" t="s">
        <v>136</v>
      </c>
      <c r="D98" s="33" t="s">
        <v>229</v>
      </c>
      <c r="E98" s="24" t="s">
        <v>34</v>
      </c>
      <c r="F98" s="24">
        <f>2.1*2*2+10*10</f>
        <v>108.4</v>
      </c>
      <c r="G98" s="302" t="s">
        <v>430</v>
      </c>
      <c r="H98" s="303"/>
      <c r="I98" s="304"/>
      <c r="J98" s="47"/>
    </row>
    <row r="99" spans="1:9" ht="12.75">
      <c r="A99" s="308"/>
      <c r="B99" s="309"/>
      <c r="C99" s="309"/>
      <c r="D99" s="309"/>
      <c r="E99" s="309"/>
      <c r="F99" s="309"/>
      <c r="G99" s="309"/>
      <c r="H99" s="309"/>
      <c r="I99" s="310"/>
    </row>
    <row r="100" spans="1:9" ht="13.5" thickBot="1">
      <c r="A100" s="53"/>
      <c r="B100" s="53"/>
      <c r="C100" s="53"/>
      <c r="D100" s="54"/>
      <c r="E100" s="53"/>
      <c r="F100" s="53"/>
      <c r="G100" s="36"/>
      <c r="H100" s="36"/>
      <c r="I100" s="36"/>
    </row>
    <row r="101" spans="1:9" ht="13.5" thickBot="1">
      <c r="A101" s="10" t="s">
        <v>99</v>
      </c>
      <c r="B101" s="22"/>
      <c r="C101" s="22"/>
      <c r="D101" s="232" t="s">
        <v>107</v>
      </c>
      <c r="E101" s="227"/>
      <c r="F101" s="227"/>
      <c r="G101" s="227"/>
      <c r="H101" s="227"/>
      <c r="I101" s="228"/>
    </row>
    <row r="102" spans="1:10" ht="39.75" customHeight="1">
      <c r="A102" s="77" t="s">
        <v>100</v>
      </c>
      <c r="B102" s="24">
        <v>97586</v>
      </c>
      <c r="C102" s="48" t="s">
        <v>141</v>
      </c>
      <c r="D102" s="35" t="s">
        <v>164</v>
      </c>
      <c r="E102" s="24" t="s">
        <v>126</v>
      </c>
      <c r="F102" s="55">
        <v>5</v>
      </c>
      <c r="G102" s="312">
        <v>5</v>
      </c>
      <c r="H102" s="313"/>
      <c r="I102" s="314"/>
      <c r="J102" s="40"/>
    </row>
    <row r="103" spans="1:10" ht="22.5" customHeight="1">
      <c r="A103" s="77" t="s">
        <v>101</v>
      </c>
      <c r="B103" s="24">
        <v>91996</v>
      </c>
      <c r="C103" s="48" t="s">
        <v>141</v>
      </c>
      <c r="D103" s="35" t="s">
        <v>165</v>
      </c>
      <c r="E103" s="24" t="s">
        <v>126</v>
      </c>
      <c r="F103" s="55">
        <v>12</v>
      </c>
      <c r="G103" s="299">
        <v>12</v>
      </c>
      <c r="H103" s="300"/>
      <c r="I103" s="301"/>
      <c r="J103" s="40"/>
    </row>
    <row r="104" spans="1:10" ht="25.5">
      <c r="A104" s="77" t="s">
        <v>102</v>
      </c>
      <c r="B104" s="24">
        <v>91953</v>
      </c>
      <c r="C104" s="48" t="s">
        <v>141</v>
      </c>
      <c r="D104" s="63" t="s">
        <v>166</v>
      </c>
      <c r="E104" s="24" t="s">
        <v>126</v>
      </c>
      <c r="F104" s="55">
        <v>3</v>
      </c>
      <c r="G104" s="299">
        <v>3</v>
      </c>
      <c r="H104" s="300"/>
      <c r="I104" s="301"/>
      <c r="J104" s="40"/>
    </row>
    <row r="105" spans="1:10" ht="25.5">
      <c r="A105" s="77" t="s">
        <v>103</v>
      </c>
      <c r="B105" s="143" t="s">
        <v>167</v>
      </c>
      <c r="C105" s="24" t="s">
        <v>139</v>
      </c>
      <c r="D105" s="79" t="s">
        <v>190</v>
      </c>
      <c r="E105" s="24" t="s">
        <v>69</v>
      </c>
      <c r="F105" s="55">
        <v>60</v>
      </c>
      <c r="G105" s="299">
        <v>60</v>
      </c>
      <c r="H105" s="300"/>
      <c r="I105" s="301"/>
      <c r="J105" s="40"/>
    </row>
    <row r="106" spans="1:10" ht="12.75">
      <c r="A106" s="77" t="s">
        <v>104</v>
      </c>
      <c r="B106" s="143">
        <v>91932</v>
      </c>
      <c r="C106" s="24" t="s">
        <v>141</v>
      </c>
      <c r="D106" s="88" t="s">
        <v>168</v>
      </c>
      <c r="E106" s="80" t="s">
        <v>69</v>
      </c>
      <c r="F106" s="55">
        <v>60</v>
      </c>
      <c r="G106" s="299">
        <v>60</v>
      </c>
      <c r="H106" s="300"/>
      <c r="I106" s="301"/>
      <c r="J106" s="40"/>
    </row>
    <row r="107" spans="1:10" ht="12.75">
      <c r="A107" s="77" t="s">
        <v>105</v>
      </c>
      <c r="B107" s="143">
        <v>91928</v>
      </c>
      <c r="C107" s="24" t="s">
        <v>141</v>
      </c>
      <c r="D107" s="45" t="s">
        <v>169</v>
      </c>
      <c r="E107" s="28" t="s">
        <v>69</v>
      </c>
      <c r="F107" s="55">
        <v>60</v>
      </c>
      <c r="G107" s="299">
        <v>60</v>
      </c>
      <c r="H107" s="300"/>
      <c r="I107" s="301"/>
      <c r="J107" s="40"/>
    </row>
    <row r="108" spans="1:10" ht="12.75">
      <c r="A108" s="77" t="s">
        <v>230</v>
      </c>
      <c r="B108" s="143">
        <v>91926</v>
      </c>
      <c r="C108" s="24" t="s">
        <v>141</v>
      </c>
      <c r="D108" s="45" t="s">
        <v>170</v>
      </c>
      <c r="E108" s="28" t="s">
        <v>69</v>
      </c>
      <c r="F108" s="55">
        <v>60</v>
      </c>
      <c r="G108" s="299">
        <v>60</v>
      </c>
      <c r="H108" s="300"/>
      <c r="I108" s="301"/>
      <c r="J108" s="40"/>
    </row>
    <row r="109" spans="1:10" ht="38.25">
      <c r="A109" s="77" t="s">
        <v>289</v>
      </c>
      <c r="B109" s="143" t="s">
        <v>285</v>
      </c>
      <c r="C109" s="24" t="s">
        <v>139</v>
      </c>
      <c r="D109" s="79" t="s">
        <v>286</v>
      </c>
      <c r="E109" s="80" t="s">
        <v>126</v>
      </c>
      <c r="F109" s="55">
        <v>2</v>
      </c>
      <c r="G109" s="299">
        <v>2</v>
      </c>
      <c r="H109" s="300"/>
      <c r="I109" s="301"/>
      <c r="J109" s="40"/>
    </row>
    <row r="110" spans="1:10" ht="38.25">
      <c r="A110" s="77" t="s">
        <v>290</v>
      </c>
      <c r="B110" s="77" t="s">
        <v>313</v>
      </c>
      <c r="C110" s="24" t="s">
        <v>313</v>
      </c>
      <c r="D110" s="79" t="s">
        <v>294</v>
      </c>
      <c r="E110" s="80" t="s">
        <v>126</v>
      </c>
      <c r="F110" s="55">
        <v>6</v>
      </c>
      <c r="G110" s="299">
        <v>6</v>
      </c>
      <c r="H110" s="300"/>
      <c r="I110" s="301"/>
      <c r="J110" s="40"/>
    </row>
    <row r="111" spans="1:10" ht="12.75">
      <c r="A111" s="77" t="s">
        <v>293</v>
      </c>
      <c r="B111" s="77" t="s">
        <v>314</v>
      </c>
      <c r="C111" s="77" t="s">
        <v>139</v>
      </c>
      <c r="D111" s="79" t="s">
        <v>295</v>
      </c>
      <c r="E111" s="80" t="s">
        <v>69</v>
      </c>
      <c r="F111" s="55">
        <v>18</v>
      </c>
      <c r="G111" s="299">
        <v>18</v>
      </c>
      <c r="H111" s="300"/>
      <c r="I111" s="301"/>
      <c r="J111" s="40"/>
    </row>
    <row r="112" spans="1:10" ht="12.75">
      <c r="A112" s="77" t="s">
        <v>304</v>
      </c>
      <c r="B112" s="158">
        <v>92697</v>
      </c>
      <c r="C112" s="77" t="s">
        <v>141</v>
      </c>
      <c r="D112" s="92" t="s">
        <v>296</v>
      </c>
      <c r="E112" s="80" t="s">
        <v>126</v>
      </c>
      <c r="F112" s="55">
        <v>12</v>
      </c>
      <c r="G112" s="299">
        <v>12</v>
      </c>
      <c r="H112" s="300"/>
      <c r="I112" s="301"/>
      <c r="J112" s="40"/>
    </row>
    <row r="113" spans="1:10" ht="12.75">
      <c r="A113" s="77" t="s">
        <v>305</v>
      </c>
      <c r="B113" s="158">
        <v>92662</v>
      </c>
      <c r="C113" s="77" t="s">
        <v>141</v>
      </c>
      <c r="D113" s="92" t="s">
        <v>297</v>
      </c>
      <c r="E113" s="80" t="s">
        <v>126</v>
      </c>
      <c r="F113" s="55">
        <v>6</v>
      </c>
      <c r="G113" s="299">
        <v>6</v>
      </c>
      <c r="H113" s="300"/>
      <c r="I113" s="301"/>
      <c r="J113" s="40"/>
    </row>
    <row r="114" spans="1:10" ht="25.5">
      <c r="A114" s="77" t="s">
        <v>306</v>
      </c>
      <c r="B114" s="158">
        <v>95809</v>
      </c>
      <c r="C114" s="77" t="s">
        <v>141</v>
      </c>
      <c r="D114" s="92" t="s">
        <v>298</v>
      </c>
      <c r="E114" s="80" t="s">
        <v>126</v>
      </c>
      <c r="F114" s="55">
        <v>6</v>
      </c>
      <c r="G114" s="299">
        <v>6</v>
      </c>
      <c r="H114" s="300"/>
      <c r="I114" s="301"/>
      <c r="J114" s="40"/>
    </row>
    <row r="115" spans="1:10" ht="25.5">
      <c r="A115" s="77" t="s">
        <v>307</v>
      </c>
      <c r="B115" s="158">
        <v>95815</v>
      </c>
      <c r="C115" s="77" t="s">
        <v>141</v>
      </c>
      <c r="D115" s="92" t="s">
        <v>299</v>
      </c>
      <c r="E115" s="80" t="s">
        <v>126</v>
      </c>
      <c r="F115" s="55">
        <v>6</v>
      </c>
      <c r="G115" s="299">
        <v>6</v>
      </c>
      <c r="H115" s="300"/>
      <c r="I115" s="301"/>
      <c r="J115" s="40"/>
    </row>
    <row r="116" spans="1:10" ht="25.5">
      <c r="A116" s="77" t="s">
        <v>308</v>
      </c>
      <c r="B116" s="158">
        <v>95801</v>
      </c>
      <c r="C116" s="77" t="s">
        <v>141</v>
      </c>
      <c r="D116" s="92" t="s">
        <v>300</v>
      </c>
      <c r="E116" s="80" t="s">
        <v>126</v>
      </c>
      <c r="F116" s="55">
        <v>6</v>
      </c>
      <c r="G116" s="299">
        <v>6</v>
      </c>
      <c r="H116" s="300"/>
      <c r="I116" s="301"/>
      <c r="J116" s="40"/>
    </row>
    <row r="117" spans="1:10" ht="12.75">
      <c r="A117" s="77" t="s">
        <v>309</v>
      </c>
      <c r="B117" s="158" t="s">
        <v>303</v>
      </c>
      <c r="C117" s="77" t="s">
        <v>139</v>
      </c>
      <c r="D117" s="92" t="s">
        <v>301</v>
      </c>
      <c r="E117" s="80" t="s">
        <v>126</v>
      </c>
      <c r="F117" s="55">
        <v>6</v>
      </c>
      <c r="G117" s="299">
        <v>6</v>
      </c>
      <c r="H117" s="300"/>
      <c r="I117" s="301"/>
      <c r="J117" s="40"/>
    </row>
    <row r="118" spans="1:10" ht="12.75">
      <c r="A118" s="77" t="s">
        <v>310</v>
      </c>
      <c r="B118" s="158" t="s">
        <v>303</v>
      </c>
      <c r="C118" s="77" t="s">
        <v>139</v>
      </c>
      <c r="D118" s="92" t="s">
        <v>302</v>
      </c>
      <c r="E118" s="80" t="s">
        <v>126</v>
      </c>
      <c r="F118" s="55">
        <v>6</v>
      </c>
      <c r="G118" s="299">
        <v>6</v>
      </c>
      <c r="H118" s="300"/>
      <c r="I118" s="301"/>
      <c r="J118" s="40"/>
    </row>
    <row r="119" spans="1:10" ht="12.75">
      <c r="A119" s="77" t="s">
        <v>311</v>
      </c>
      <c r="B119" s="143" t="s">
        <v>287</v>
      </c>
      <c r="C119" s="77" t="s">
        <v>139</v>
      </c>
      <c r="D119" s="79" t="s">
        <v>288</v>
      </c>
      <c r="E119" s="80" t="s">
        <v>126</v>
      </c>
      <c r="F119" s="55">
        <v>6</v>
      </c>
      <c r="G119" s="299">
        <v>6</v>
      </c>
      <c r="H119" s="300"/>
      <c r="I119" s="301"/>
      <c r="J119" s="40"/>
    </row>
    <row r="120" spans="1:10" ht="12.75">
      <c r="A120" s="77" t="s">
        <v>312</v>
      </c>
      <c r="B120" s="143" t="s">
        <v>291</v>
      </c>
      <c r="C120" s="77" t="s">
        <v>139</v>
      </c>
      <c r="D120" s="79" t="s">
        <v>292</v>
      </c>
      <c r="E120" s="80" t="s">
        <v>126</v>
      </c>
      <c r="F120" s="55">
        <v>2</v>
      </c>
      <c r="G120" s="299">
        <v>2</v>
      </c>
      <c r="H120" s="300"/>
      <c r="I120" s="301"/>
      <c r="J120" s="40"/>
    </row>
    <row r="121" spans="1:10" ht="12.75">
      <c r="A121" s="308"/>
      <c r="B121" s="309"/>
      <c r="C121" s="309"/>
      <c r="D121" s="309"/>
      <c r="E121" s="309"/>
      <c r="F121" s="309"/>
      <c r="G121" s="309"/>
      <c r="H121" s="309"/>
      <c r="I121" s="310"/>
      <c r="J121" s="31"/>
    </row>
    <row r="122" spans="1:10" ht="13.5" thickBot="1">
      <c r="A122" s="91"/>
      <c r="B122" s="91"/>
      <c r="C122" s="91"/>
      <c r="D122" s="91"/>
      <c r="E122" s="91"/>
      <c r="F122" s="91"/>
      <c r="G122" s="91"/>
      <c r="H122" s="91"/>
      <c r="I122" s="11"/>
      <c r="J122" s="31"/>
    </row>
    <row r="123" spans="1:9" ht="13.5" thickBot="1">
      <c r="A123" s="10" t="s">
        <v>108</v>
      </c>
      <c r="B123" s="22"/>
      <c r="C123" s="22"/>
      <c r="D123" s="226" t="s">
        <v>110</v>
      </c>
      <c r="E123" s="227"/>
      <c r="F123" s="227"/>
      <c r="G123" s="227"/>
      <c r="H123" s="227"/>
      <c r="I123" s="228"/>
    </row>
    <row r="124" spans="1:10" ht="25.5">
      <c r="A124" s="75" t="s">
        <v>125</v>
      </c>
      <c r="B124" s="77" t="s">
        <v>315</v>
      </c>
      <c r="C124" s="89" t="s">
        <v>280</v>
      </c>
      <c r="D124" s="79" t="s">
        <v>316</v>
      </c>
      <c r="E124" s="77" t="s">
        <v>69</v>
      </c>
      <c r="F124" s="57">
        <v>12</v>
      </c>
      <c r="G124" s="299">
        <v>12</v>
      </c>
      <c r="H124" s="300"/>
      <c r="I124" s="301"/>
      <c r="J124" s="52"/>
    </row>
    <row r="125" spans="1:10" ht="25.5">
      <c r="A125" s="75" t="s">
        <v>127</v>
      </c>
      <c r="B125" s="77" t="s">
        <v>152</v>
      </c>
      <c r="C125" s="89" t="s">
        <v>280</v>
      </c>
      <c r="D125" s="159" t="s">
        <v>319</v>
      </c>
      <c r="E125" s="77" t="s">
        <v>69</v>
      </c>
      <c r="F125" s="57">
        <v>18</v>
      </c>
      <c r="G125" s="299">
        <v>18</v>
      </c>
      <c r="H125" s="300">
        <v>18</v>
      </c>
      <c r="I125" s="301">
        <v>18</v>
      </c>
      <c r="J125" s="52"/>
    </row>
    <row r="126" spans="1:10" ht="51">
      <c r="A126" s="75" t="s">
        <v>128</v>
      </c>
      <c r="B126" s="77" t="s">
        <v>317</v>
      </c>
      <c r="C126" s="89" t="s">
        <v>280</v>
      </c>
      <c r="D126" s="159" t="s">
        <v>318</v>
      </c>
      <c r="E126" s="77" t="s">
        <v>126</v>
      </c>
      <c r="F126" s="57">
        <v>3</v>
      </c>
      <c r="G126" s="299">
        <v>3</v>
      </c>
      <c r="H126" s="300">
        <v>3</v>
      </c>
      <c r="I126" s="301">
        <v>3</v>
      </c>
      <c r="J126" s="52"/>
    </row>
    <row r="127" spans="1:10" ht="38.25">
      <c r="A127" s="75" t="s">
        <v>129</v>
      </c>
      <c r="B127" s="77" t="s">
        <v>320</v>
      </c>
      <c r="C127" s="89" t="s">
        <v>280</v>
      </c>
      <c r="D127" s="159" t="s">
        <v>321</v>
      </c>
      <c r="E127" s="77" t="s">
        <v>126</v>
      </c>
      <c r="F127" s="57">
        <v>2</v>
      </c>
      <c r="G127" s="299">
        <v>2</v>
      </c>
      <c r="H127" s="300">
        <v>2</v>
      </c>
      <c r="I127" s="301">
        <v>2</v>
      </c>
      <c r="J127" s="52"/>
    </row>
    <row r="128" spans="1:10" ht="38.25">
      <c r="A128" s="75" t="s">
        <v>130</v>
      </c>
      <c r="B128" s="77" t="s">
        <v>322</v>
      </c>
      <c r="C128" s="89" t="s">
        <v>280</v>
      </c>
      <c r="D128" s="159" t="s">
        <v>323</v>
      </c>
      <c r="E128" s="77" t="s">
        <v>126</v>
      </c>
      <c r="F128" s="57">
        <v>6</v>
      </c>
      <c r="G128" s="299">
        <v>6</v>
      </c>
      <c r="H128" s="300">
        <v>6</v>
      </c>
      <c r="I128" s="301">
        <v>6</v>
      </c>
      <c r="J128" s="52"/>
    </row>
    <row r="129" spans="1:10" ht="63.75">
      <c r="A129" s="75" t="s">
        <v>332</v>
      </c>
      <c r="B129" s="77" t="s">
        <v>326</v>
      </c>
      <c r="C129" s="89" t="s">
        <v>280</v>
      </c>
      <c r="D129" s="159" t="s">
        <v>327</v>
      </c>
      <c r="E129" s="77" t="s">
        <v>126</v>
      </c>
      <c r="F129" s="57">
        <v>12</v>
      </c>
      <c r="G129" s="299">
        <v>12</v>
      </c>
      <c r="H129" s="300">
        <v>12</v>
      </c>
      <c r="I129" s="301">
        <v>12</v>
      </c>
      <c r="J129" s="52"/>
    </row>
    <row r="130" spans="1:10" ht="38.25">
      <c r="A130" s="75" t="s">
        <v>333</v>
      </c>
      <c r="B130" s="77" t="s">
        <v>328</v>
      </c>
      <c r="C130" s="89" t="s">
        <v>280</v>
      </c>
      <c r="D130" s="159" t="s">
        <v>329</v>
      </c>
      <c r="E130" s="77" t="s">
        <v>126</v>
      </c>
      <c r="F130" s="57">
        <v>4</v>
      </c>
      <c r="G130" s="299">
        <v>4</v>
      </c>
      <c r="H130" s="300">
        <v>4</v>
      </c>
      <c r="I130" s="301">
        <v>4</v>
      </c>
      <c r="J130" s="41"/>
    </row>
    <row r="131" spans="1:9" ht="51">
      <c r="A131" s="75" t="s">
        <v>334</v>
      </c>
      <c r="B131" s="77" t="s">
        <v>330</v>
      </c>
      <c r="C131" s="89" t="s">
        <v>280</v>
      </c>
      <c r="D131" s="79" t="s">
        <v>331</v>
      </c>
      <c r="E131" s="77" t="s">
        <v>126</v>
      </c>
      <c r="F131" s="57">
        <v>6</v>
      </c>
      <c r="G131" s="299">
        <v>6</v>
      </c>
      <c r="H131" s="300">
        <v>6</v>
      </c>
      <c r="I131" s="301">
        <v>6</v>
      </c>
    </row>
    <row r="132" spans="1:9" ht="12.75">
      <c r="A132" s="75" t="s">
        <v>337</v>
      </c>
      <c r="B132" s="77" t="s">
        <v>342</v>
      </c>
      <c r="C132" s="89" t="s">
        <v>280</v>
      </c>
      <c r="D132" s="79" t="s">
        <v>343</v>
      </c>
      <c r="E132" s="77" t="s">
        <v>126</v>
      </c>
      <c r="F132" s="57">
        <v>4</v>
      </c>
      <c r="G132" s="299">
        <v>4</v>
      </c>
      <c r="H132" s="300">
        <v>4</v>
      </c>
      <c r="I132" s="301">
        <v>4</v>
      </c>
    </row>
    <row r="133" spans="1:9" ht="76.5">
      <c r="A133" s="75" t="s">
        <v>341</v>
      </c>
      <c r="B133" s="77" t="s">
        <v>392</v>
      </c>
      <c r="C133" s="89" t="s">
        <v>280</v>
      </c>
      <c r="D133" s="79" t="s">
        <v>393</v>
      </c>
      <c r="E133" s="77" t="s">
        <v>9</v>
      </c>
      <c r="F133" s="57">
        <v>6</v>
      </c>
      <c r="G133" s="299">
        <v>6</v>
      </c>
      <c r="H133" s="300">
        <v>6</v>
      </c>
      <c r="I133" s="301">
        <v>6</v>
      </c>
    </row>
    <row r="134" spans="1:10" ht="51">
      <c r="A134" s="75" t="s">
        <v>391</v>
      </c>
      <c r="B134" s="77" t="s">
        <v>335</v>
      </c>
      <c r="C134" s="89" t="s">
        <v>280</v>
      </c>
      <c r="D134" s="79" t="s">
        <v>336</v>
      </c>
      <c r="E134" s="77" t="s">
        <v>126</v>
      </c>
      <c r="F134" s="57">
        <v>1</v>
      </c>
      <c r="G134" s="299">
        <v>1</v>
      </c>
      <c r="H134" s="300">
        <v>1</v>
      </c>
      <c r="I134" s="301">
        <v>1</v>
      </c>
      <c r="J134" s="40"/>
    </row>
    <row r="135" spans="1:9" ht="13.5" thickBot="1">
      <c r="A135" s="53"/>
      <c r="B135" s="53"/>
      <c r="C135" s="53"/>
      <c r="D135" s="54"/>
      <c r="E135" s="53"/>
      <c r="F135" s="53"/>
      <c r="G135" s="36"/>
      <c r="H135" s="36"/>
      <c r="I135" s="36"/>
    </row>
    <row r="136" spans="1:9" ht="13.5" thickBot="1">
      <c r="A136" s="10" t="s">
        <v>111</v>
      </c>
      <c r="B136" s="22"/>
      <c r="C136" s="22"/>
      <c r="D136" s="232" t="s">
        <v>115</v>
      </c>
      <c r="E136" s="227"/>
      <c r="F136" s="227"/>
      <c r="G136" s="227"/>
      <c r="H136" s="227"/>
      <c r="I136" s="228"/>
    </row>
    <row r="137" spans="1:9" ht="28.5" customHeight="1">
      <c r="A137" s="75" t="s">
        <v>112</v>
      </c>
      <c r="B137" s="75" t="s">
        <v>344</v>
      </c>
      <c r="C137" s="75" t="s">
        <v>139</v>
      </c>
      <c r="D137" s="160" t="s">
        <v>345</v>
      </c>
      <c r="E137" s="75" t="s">
        <v>69</v>
      </c>
      <c r="F137" s="55">
        <v>40</v>
      </c>
      <c r="G137" s="299">
        <v>40</v>
      </c>
      <c r="H137" s="300"/>
      <c r="I137" s="301"/>
    </row>
    <row r="138" spans="1:9" ht="28.5" customHeight="1">
      <c r="A138" s="75" t="s">
        <v>113</v>
      </c>
      <c r="B138" s="75" t="s">
        <v>346</v>
      </c>
      <c r="C138" s="75" t="s">
        <v>139</v>
      </c>
      <c r="D138" s="160" t="s">
        <v>347</v>
      </c>
      <c r="E138" s="150" t="s">
        <v>69</v>
      </c>
      <c r="F138" s="55">
        <v>15</v>
      </c>
      <c r="G138" s="299">
        <v>15</v>
      </c>
      <c r="H138" s="300">
        <v>15</v>
      </c>
      <c r="I138" s="301">
        <v>15</v>
      </c>
    </row>
    <row r="139" spans="1:9" ht="28.5" customHeight="1">
      <c r="A139" s="75" t="s">
        <v>191</v>
      </c>
      <c r="B139" s="75" t="s">
        <v>348</v>
      </c>
      <c r="C139" s="75" t="s">
        <v>139</v>
      </c>
      <c r="D139" s="160" t="s">
        <v>349</v>
      </c>
      <c r="E139" s="150" t="s">
        <v>9</v>
      </c>
      <c r="F139" s="55">
        <v>2</v>
      </c>
      <c r="G139" s="299">
        <v>2</v>
      </c>
      <c r="H139" s="300">
        <v>2</v>
      </c>
      <c r="I139" s="301">
        <v>2</v>
      </c>
    </row>
    <row r="140" spans="1:9" ht="28.5" customHeight="1">
      <c r="A140" s="75" t="s">
        <v>365</v>
      </c>
      <c r="B140" s="75" t="s">
        <v>350</v>
      </c>
      <c r="C140" s="75" t="s">
        <v>139</v>
      </c>
      <c r="D140" s="160" t="s">
        <v>351</v>
      </c>
      <c r="E140" s="150" t="s">
        <v>9</v>
      </c>
      <c r="F140" s="55">
        <v>4</v>
      </c>
      <c r="G140" s="299">
        <v>4</v>
      </c>
      <c r="H140" s="300">
        <v>4</v>
      </c>
      <c r="I140" s="301">
        <v>4</v>
      </c>
    </row>
    <row r="141" spans="1:9" ht="75.75" customHeight="1">
      <c r="A141" s="75" t="s">
        <v>366</v>
      </c>
      <c r="B141" s="75" t="s">
        <v>324</v>
      </c>
      <c r="C141" s="75" t="s">
        <v>139</v>
      </c>
      <c r="D141" s="160" t="s">
        <v>325</v>
      </c>
      <c r="E141" s="150" t="s">
        <v>9</v>
      </c>
      <c r="F141" s="55">
        <v>4</v>
      </c>
      <c r="G141" s="299">
        <v>4</v>
      </c>
      <c r="H141" s="300">
        <v>4</v>
      </c>
      <c r="I141" s="301">
        <v>4</v>
      </c>
    </row>
    <row r="142" spans="1:9" ht="63.75" customHeight="1">
      <c r="A142" s="75" t="s">
        <v>367</v>
      </c>
      <c r="B142" s="75" t="s">
        <v>352</v>
      </c>
      <c r="C142" s="75" t="s">
        <v>139</v>
      </c>
      <c r="D142" s="160" t="s">
        <v>353</v>
      </c>
      <c r="E142" s="150" t="s">
        <v>9</v>
      </c>
      <c r="F142" s="55">
        <v>4</v>
      </c>
      <c r="G142" s="299">
        <v>4</v>
      </c>
      <c r="H142" s="300">
        <v>4</v>
      </c>
      <c r="I142" s="301">
        <v>4</v>
      </c>
    </row>
    <row r="143" spans="1:9" ht="72.75" customHeight="1">
      <c r="A143" s="75" t="s">
        <v>368</v>
      </c>
      <c r="B143" s="75" t="s">
        <v>354</v>
      </c>
      <c r="C143" s="75" t="s">
        <v>139</v>
      </c>
      <c r="D143" s="160" t="s">
        <v>355</v>
      </c>
      <c r="E143" s="150" t="s">
        <v>9</v>
      </c>
      <c r="F143" s="55">
        <v>4</v>
      </c>
      <c r="G143" s="299">
        <v>4</v>
      </c>
      <c r="H143" s="300">
        <v>4</v>
      </c>
      <c r="I143" s="301">
        <v>4</v>
      </c>
    </row>
    <row r="144" spans="1:9" ht="42.75" customHeight="1">
      <c r="A144" s="75" t="s">
        <v>369</v>
      </c>
      <c r="B144" s="75" t="s">
        <v>356</v>
      </c>
      <c r="C144" s="75" t="s">
        <v>139</v>
      </c>
      <c r="D144" s="160" t="s">
        <v>357</v>
      </c>
      <c r="E144" s="150" t="s">
        <v>9</v>
      </c>
      <c r="F144" s="55">
        <v>4</v>
      </c>
      <c r="G144" s="299">
        <v>4</v>
      </c>
      <c r="H144" s="300">
        <v>4</v>
      </c>
      <c r="I144" s="301">
        <v>4</v>
      </c>
    </row>
    <row r="145" spans="1:9" ht="71.25" customHeight="1">
      <c r="A145" s="75" t="s">
        <v>370</v>
      </c>
      <c r="B145" s="75" t="s">
        <v>361</v>
      </c>
      <c r="C145" s="75" t="s">
        <v>139</v>
      </c>
      <c r="D145" s="160" t="s">
        <v>362</v>
      </c>
      <c r="E145" s="150" t="s">
        <v>69</v>
      </c>
      <c r="F145" s="55">
        <v>15</v>
      </c>
      <c r="G145" s="299">
        <v>15</v>
      </c>
      <c r="H145" s="300">
        <v>15</v>
      </c>
      <c r="I145" s="301">
        <v>15</v>
      </c>
    </row>
    <row r="146" spans="1:9" ht="45" customHeight="1">
      <c r="A146" s="75" t="s">
        <v>371</v>
      </c>
      <c r="B146" s="75" t="s">
        <v>363</v>
      </c>
      <c r="C146" s="75" t="s">
        <v>139</v>
      </c>
      <c r="D146" s="160" t="s">
        <v>364</v>
      </c>
      <c r="E146" s="150" t="s">
        <v>69</v>
      </c>
      <c r="F146" s="55">
        <v>15</v>
      </c>
      <c r="G146" s="299">
        <v>15</v>
      </c>
      <c r="H146" s="300">
        <v>15</v>
      </c>
      <c r="I146" s="301">
        <v>15</v>
      </c>
    </row>
    <row r="147" spans="1:9" ht="13.5" thickBot="1">
      <c r="A147" s="53"/>
      <c r="B147" s="53"/>
      <c r="C147" s="53"/>
      <c r="D147" s="54"/>
      <c r="E147" s="53"/>
      <c r="F147" s="53"/>
      <c r="G147" s="36"/>
      <c r="H147" s="36"/>
      <c r="I147" s="36"/>
    </row>
    <row r="148" spans="1:9" ht="13.5" thickBot="1">
      <c r="A148" s="10" t="s">
        <v>116</v>
      </c>
      <c r="B148" s="22"/>
      <c r="C148" s="22"/>
      <c r="D148" s="226" t="s">
        <v>119</v>
      </c>
      <c r="E148" s="227"/>
      <c r="F148" s="227"/>
      <c r="G148" s="227"/>
      <c r="H148" s="227"/>
      <c r="I148" s="228"/>
    </row>
    <row r="149" spans="1:9" ht="46.5" customHeight="1">
      <c r="A149" s="75" t="s">
        <v>376</v>
      </c>
      <c r="B149" s="77" t="s">
        <v>255</v>
      </c>
      <c r="C149" s="24" t="s">
        <v>139</v>
      </c>
      <c r="D149" s="79" t="s">
        <v>374</v>
      </c>
      <c r="E149" s="24" t="s">
        <v>9</v>
      </c>
      <c r="F149" s="81">
        <v>4</v>
      </c>
      <c r="G149" s="299">
        <v>4</v>
      </c>
      <c r="H149" s="300"/>
      <c r="I149" s="301"/>
    </row>
    <row r="150" spans="1:9" ht="46.5" customHeight="1">
      <c r="A150" s="75" t="s">
        <v>377</v>
      </c>
      <c r="B150" s="77" t="s">
        <v>256</v>
      </c>
      <c r="C150" s="24" t="s">
        <v>139</v>
      </c>
      <c r="D150" s="79" t="s">
        <v>375</v>
      </c>
      <c r="E150" s="77" t="s">
        <v>9</v>
      </c>
      <c r="F150" s="81">
        <v>4</v>
      </c>
      <c r="G150" s="299">
        <v>4</v>
      </c>
      <c r="H150" s="300"/>
      <c r="I150" s="301"/>
    </row>
    <row r="151" spans="1:9" ht="30" customHeight="1">
      <c r="A151" s="75" t="s">
        <v>378</v>
      </c>
      <c r="B151" s="77" t="s">
        <v>372</v>
      </c>
      <c r="C151" s="24" t="s">
        <v>139</v>
      </c>
      <c r="D151" s="79" t="s">
        <v>373</v>
      </c>
      <c r="E151" s="24" t="s">
        <v>9</v>
      </c>
      <c r="F151" s="81">
        <v>4</v>
      </c>
      <c r="G151" s="299">
        <v>4</v>
      </c>
      <c r="H151" s="300"/>
      <c r="I151" s="301"/>
    </row>
    <row r="152" spans="1:9" ht="13.5" thickBot="1">
      <c r="A152" s="53"/>
      <c r="B152" s="53"/>
      <c r="C152" s="53"/>
      <c r="D152" s="54"/>
      <c r="E152" s="53"/>
      <c r="F152" s="53"/>
      <c r="G152" s="36"/>
      <c r="H152" s="36"/>
      <c r="I152" s="36"/>
    </row>
    <row r="153" spans="1:9" ht="13.5" thickBot="1">
      <c r="A153" s="10" t="s">
        <v>118</v>
      </c>
      <c r="B153" s="22"/>
      <c r="C153" s="22"/>
      <c r="D153" s="226" t="s">
        <v>383</v>
      </c>
      <c r="E153" s="227"/>
      <c r="F153" s="227"/>
      <c r="G153" s="227"/>
      <c r="H153" s="227"/>
      <c r="I153" s="228"/>
    </row>
    <row r="154" spans="1:9" ht="63.75">
      <c r="A154" s="75" t="s">
        <v>120</v>
      </c>
      <c r="B154" s="75" t="s">
        <v>379</v>
      </c>
      <c r="C154" s="75" t="s">
        <v>139</v>
      </c>
      <c r="D154" s="92" t="s">
        <v>380</v>
      </c>
      <c r="E154" s="75" t="s">
        <v>34</v>
      </c>
      <c r="F154" s="93">
        <v>5.5</v>
      </c>
      <c r="G154" s="305">
        <v>5.5</v>
      </c>
      <c r="H154" s="306"/>
      <c r="I154" s="307"/>
    </row>
    <row r="155" spans="1:10" ht="27.75" customHeight="1">
      <c r="A155" s="75" t="s">
        <v>386</v>
      </c>
      <c r="B155" s="75" t="s">
        <v>381</v>
      </c>
      <c r="C155" s="75" t="s">
        <v>139</v>
      </c>
      <c r="D155" s="92" t="s">
        <v>382</v>
      </c>
      <c r="E155" s="75" t="s">
        <v>34</v>
      </c>
      <c r="F155" s="93">
        <f>4*0.68*1.8</f>
        <v>4.896000000000001</v>
      </c>
      <c r="G155" s="302" t="s">
        <v>431</v>
      </c>
      <c r="H155" s="303"/>
      <c r="I155" s="304"/>
      <c r="J155" s="47"/>
    </row>
    <row r="156" spans="1:10" ht="27.75" customHeight="1">
      <c r="A156" s="75" t="s">
        <v>387</v>
      </c>
      <c r="B156" s="75" t="s">
        <v>384</v>
      </c>
      <c r="C156" s="75" t="s">
        <v>139</v>
      </c>
      <c r="D156" s="92" t="s">
        <v>385</v>
      </c>
      <c r="E156" s="75" t="s">
        <v>34</v>
      </c>
      <c r="F156" s="93">
        <v>200</v>
      </c>
      <c r="G156" s="302">
        <v>200</v>
      </c>
      <c r="H156" s="303"/>
      <c r="I156" s="304"/>
      <c r="J156" s="47"/>
    </row>
    <row r="157" spans="1:9" ht="12.75">
      <c r="A157" s="53"/>
      <c r="B157" s="53"/>
      <c r="C157" s="53"/>
      <c r="D157" s="54"/>
      <c r="E157" s="53"/>
      <c r="F157" s="53"/>
      <c r="G157" s="36"/>
      <c r="H157" s="36"/>
      <c r="I157" s="36"/>
    </row>
    <row r="158" spans="1:10" ht="12.75">
      <c r="A158" s="53"/>
      <c r="B158" s="53"/>
      <c r="C158" s="53"/>
      <c r="D158" s="54"/>
      <c r="E158" s="53"/>
      <c r="F158" s="53"/>
      <c r="G158" s="36"/>
      <c r="H158" s="36"/>
      <c r="I158" s="36"/>
      <c r="J158" s="41"/>
    </row>
    <row r="160" spans="2:8" ht="12.75">
      <c r="B160" s="68"/>
      <c r="C160" s="68"/>
      <c r="D160" s="69"/>
      <c r="E160" s="68"/>
      <c r="F160" s="68"/>
      <c r="G160" s="70"/>
      <c r="H160" s="70"/>
    </row>
    <row r="161" spans="2:8" ht="12.75">
      <c r="B161" s="71"/>
      <c r="C161" s="71"/>
      <c r="D161" s="72"/>
      <c r="E161" s="71"/>
      <c r="F161" s="71"/>
      <c r="G161" s="73"/>
      <c r="H161" s="70"/>
    </row>
    <row r="162" spans="2:8" ht="12.75">
      <c r="B162" s="68"/>
      <c r="C162" s="68"/>
      <c r="D162" s="69"/>
      <c r="E162" s="68"/>
      <c r="F162" s="68"/>
      <c r="G162" s="70"/>
      <c r="H162" s="70"/>
    </row>
  </sheetData>
  <sheetProtection/>
  <mergeCells count="138">
    <mergeCell ref="A1:I1"/>
    <mergeCell ref="A2:I2"/>
    <mergeCell ref="B4:H4"/>
    <mergeCell ref="B5:H5"/>
    <mergeCell ref="I5:I6"/>
    <mergeCell ref="B6:H6"/>
    <mergeCell ref="A8:I8"/>
    <mergeCell ref="D12:I12"/>
    <mergeCell ref="D17:I17"/>
    <mergeCell ref="D24:I24"/>
    <mergeCell ref="G19:I19"/>
    <mergeCell ref="G20:I20"/>
    <mergeCell ref="G21:I21"/>
    <mergeCell ref="D46:I46"/>
    <mergeCell ref="D52:I52"/>
    <mergeCell ref="A31:I31"/>
    <mergeCell ref="G35:I35"/>
    <mergeCell ref="G36:I36"/>
    <mergeCell ref="G37:I37"/>
    <mergeCell ref="G38:I38"/>
    <mergeCell ref="G43:I43"/>
    <mergeCell ref="A44:I44"/>
    <mergeCell ref="D33:I33"/>
    <mergeCell ref="D60:I60"/>
    <mergeCell ref="D70:I70"/>
    <mergeCell ref="D75:I75"/>
    <mergeCell ref="G65:I65"/>
    <mergeCell ref="G66:I66"/>
    <mergeCell ref="G67:I67"/>
    <mergeCell ref="G71:I71"/>
    <mergeCell ref="G72:I72"/>
    <mergeCell ref="A73:I73"/>
    <mergeCell ref="G129:I129"/>
    <mergeCell ref="G130:I130"/>
    <mergeCell ref="G131:I131"/>
    <mergeCell ref="G140:I140"/>
    <mergeCell ref="G141:I141"/>
    <mergeCell ref="D84:I84"/>
    <mergeCell ref="D93:I93"/>
    <mergeCell ref="D101:I101"/>
    <mergeCell ref="G88:I88"/>
    <mergeCell ref="G89:I89"/>
    <mergeCell ref="D153:I153"/>
    <mergeCell ref="G10:I10"/>
    <mergeCell ref="G13:I13"/>
    <mergeCell ref="G14:I14"/>
    <mergeCell ref="A15:I15"/>
    <mergeCell ref="A22:I22"/>
    <mergeCell ref="G18:I18"/>
    <mergeCell ref="D123:I123"/>
    <mergeCell ref="D136:I136"/>
    <mergeCell ref="D148:I148"/>
    <mergeCell ref="G25:I25"/>
    <mergeCell ref="G26:I26"/>
    <mergeCell ref="G27:I27"/>
    <mergeCell ref="G28:I28"/>
    <mergeCell ref="G29:I29"/>
    <mergeCell ref="G30:I30"/>
    <mergeCell ref="G34:I34"/>
    <mergeCell ref="G47:I47"/>
    <mergeCell ref="A50:I50"/>
    <mergeCell ref="G48:I48"/>
    <mergeCell ref="G49:I49"/>
    <mergeCell ref="G53:I53"/>
    <mergeCell ref="G39:I39"/>
    <mergeCell ref="G40:I40"/>
    <mergeCell ref="G41:I41"/>
    <mergeCell ref="G42:I42"/>
    <mergeCell ref="G54:I54"/>
    <mergeCell ref="G55:I55"/>
    <mergeCell ref="G56:I56"/>
    <mergeCell ref="G57:I57"/>
    <mergeCell ref="A58:I58"/>
    <mergeCell ref="A68:I68"/>
    <mergeCell ref="G61:I61"/>
    <mergeCell ref="G62:I62"/>
    <mergeCell ref="G63:I63"/>
    <mergeCell ref="G64:I64"/>
    <mergeCell ref="G76:I76"/>
    <mergeCell ref="G77:I77"/>
    <mergeCell ref="G78:I78"/>
    <mergeCell ref="G79:I79"/>
    <mergeCell ref="G80:I80"/>
    <mergeCell ref="G81:I81"/>
    <mergeCell ref="A82:I82"/>
    <mergeCell ref="G85:I85"/>
    <mergeCell ref="G86:I86"/>
    <mergeCell ref="G87:I87"/>
    <mergeCell ref="G94:I94"/>
    <mergeCell ref="G90:I90"/>
    <mergeCell ref="A91:I91"/>
    <mergeCell ref="A99:I99"/>
    <mergeCell ref="G95:I95"/>
    <mergeCell ref="G96:I96"/>
    <mergeCell ref="G97:I97"/>
    <mergeCell ref="G98:I98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4:I124"/>
    <mergeCell ref="G125:I125"/>
    <mergeCell ref="G126:I126"/>
    <mergeCell ref="G127:I127"/>
    <mergeCell ref="G128:I128"/>
    <mergeCell ref="A121:I121"/>
    <mergeCell ref="G149:I149"/>
    <mergeCell ref="G132:I132"/>
    <mergeCell ref="G133:I133"/>
    <mergeCell ref="G134:I134"/>
    <mergeCell ref="G137:I137"/>
    <mergeCell ref="G138:I138"/>
    <mergeCell ref="G139:I139"/>
    <mergeCell ref="G150:I150"/>
    <mergeCell ref="G151:I151"/>
    <mergeCell ref="G155:I155"/>
    <mergeCell ref="G154:I154"/>
    <mergeCell ref="G156:I156"/>
    <mergeCell ref="G142:I142"/>
    <mergeCell ref="G143:I143"/>
    <mergeCell ref="G144:I144"/>
    <mergeCell ref="G145:I145"/>
    <mergeCell ref="G146:I146"/>
  </mergeCells>
  <conditionalFormatting sqref="F10:G10 F122:H122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2"/>
  <rowBreaks count="3" manualBreakCount="3">
    <brk id="51" max="8" man="1"/>
    <brk id="92" max="8" man="1"/>
    <brk id="141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3"/>
  <sheetViews>
    <sheetView showGridLines="0" zoomScale="120" zoomScaleNormal="120" zoomScalePageLayoutView="0" workbookViewId="0" topLeftCell="A31">
      <selection activeCell="X23" sqref="X23"/>
    </sheetView>
  </sheetViews>
  <sheetFormatPr defaultColWidth="3.7109375" defaultRowHeight="12.75"/>
  <cols>
    <col min="1" max="1" width="3.7109375" style="178" customWidth="1"/>
    <col min="2" max="5" width="4.28125" style="178" customWidth="1"/>
    <col min="6" max="6" width="9.7109375" style="178" customWidth="1"/>
    <col min="7" max="7" width="7.8515625" style="178" customWidth="1"/>
    <col min="8" max="8" width="8.8515625" style="178" customWidth="1"/>
    <col min="9" max="9" width="7.8515625" style="178" customWidth="1"/>
    <col min="10" max="10" width="8.57421875" style="178" customWidth="1"/>
    <col min="11" max="12" width="3.421875" style="178" customWidth="1"/>
    <col min="13" max="13" width="2.8515625" style="178" customWidth="1"/>
    <col min="14" max="15" width="2.7109375" style="178" customWidth="1"/>
    <col min="16" max="16" width="2.8515625" style="178" customWidth="1"/>
    <col min="17" max="18" width="2.7109375" style="178" customWidth="1"/>
    <col min="19" max="19" width="3.00390625" style="178" customWidth="1"/>
    <col min="20" max="20" width="10.00390625" style="177" customWidth="1"/>
    <col min="21" max="26" width="3.7109375" style="178" customWidth="1"/>
    <col min="27" max="27" width="10.8515625" style="178" hidden="1" customWidth="1"/>
    <col min="28" max="28" width="7.00390625" style="178" hidden="1" customWidth="1"/>
    <col min="29" max="16384" width="3.7109375" style="178" customWidth="1"/>
  </cols>
  <sheetData>
    <row r="1" spans="2:19" ht="18">
      <c r="B1" s="428" t="s">
        <v>432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</row>
    <row r="3" spans="2:20" ht="12.75">
      <c r="B3" s="429" t="s">
        <v>433</v>
      </c>
      <c r="C3" s="430"/>
      <c r="D3" s="430"/>
      <c r="E3" s="430"/>
      <c r="F3" s="430"/>
      <c r="G3" s="431" t="s">
        <v>434</v>
      </c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2"/>
      <c r="T3" s="177" t="b">
        <f>IF(LEN(G3)&lt;6,FALSE,TRUE)</f>
        <v>1</v>
      </c>
    </row>
    <row r="4" spans="2:20" ht="12.75">
      <c r="B4" s="421" t="s">
        <v>435</v>
      </c>
      <c r="C4" s="422"/>
      <c r="D4" s="422"/>
      <c r="E4" s="422"/>
      <c r="F4" s="422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4"/>
      <c r="T4" s="177" t="b">
        <f>IF(LEN(G4)&lt;9,FALSE,TRUE)</f>
        <v>0</v>
      </c>
    </row>
    <row r="5" spans="2:20" ht="12.75">
      <c r="B5" s="421" t="s">
        <v>436</v>
      </c>
      <c r="C5" s="422"/>
      <c r="D5" s="422"/>
      <c r="E5" s="422"/>
      <c r="F5" s="422"/>
      <c r="G5" s="423" t="s">
        <v>388</v>
      </c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4"/>
      <c r="T5" s="177" t="b">
        <f>IF(LEN(G5)&lt;6,FALSE,TRUE)</f>
        <v>1</v>
      </c>
    </row>
    <row r="6" spans="2:20" ht="12.75">
      <c r="B6" s="421" t="s">
        <v>437</v>
      </c>
      <c r="C6" s="422"/>
      <c r="D6" s="422"/>
      <c r="E6" s="422"/>
      <c r="F6" s="422"/>
      <c r="G6" s="423" t="s">
        <v>438</v>
      </c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4"/>
      <c r="T6" s="177" t="b">
        <f>IF(LEN(G6)&lt;4,FALSE,TRUE)</f>
        <v>1</v>
      </c>
    </row>
    <row r="7" spans="2:19" ht="18.75" customHeight="1">
      <c r="B7" s="421" t="s">
        <v>439</v>
      </c>
      <c r="C7" s="422"/>
      <c r="D7" s="422"/>
      <c r="E7" s="422"/>
      <c r="F7" s="422"/>
      <c r="G7" s="179"/>
      <c r="H7" s="180"/>
      <c r="I7" s="180"/>
      <c r="J7" s="181"/>
      <c r="K7" s="181"/>
      <c r="L7" s="181"/>
      <c r="M7" s="181"/>
      <c r="N7" s="181"/>
      <c r="O7" s="181"/>
      <c r="P7" s="181"/>
      <c r="Q7" s="181"/>
      <c r="R7" s="181"/>
      <c r="S7" s="182"/>
    </row>
    <row r="8" spans="2:19" ht="18.75" customHeight="1">
      <c r="B8" s="425" t="s">
        <v>440</v>
      </c>
      <c r="C8" s="426"/>
      <c r="D8" s="426"/>
      <c r="E8" s="426"/>
      <c r="F8" s="426"/>
      <c r="G8" s="183"/>
      <c r="H8" s="184"/>
      <c r="I8" s="184"/>
      <c r="J8" s="185"/>
      <c r="K8" s="185"/>
      <c r="L8" s="185"/>
      <c r="M8" s="185"/>
      <c r="N8" s="185"/>
      <c r="O8" s="185"/>
      <c r="P8" s="185"/>
      <c r="Q8" s="185"/>
      <c r="R8" s="185"/>
      <c r="S8" s="186"/>
    </row>
    <row r="9" spans="2:19" ht="18.75" customHeight="1">
      <c r="B9" s="405" t="s">
        <v>441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27">
        <v>1</v>
      </c>
      <c r="S9" s="427"/>
    </row>
    <row r="10" spans="2:19" ht="18.75" customHeight="1">
      <c r="B10" s="405" t="s">
        <v>442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6">
        <v>0.02</v>
      </c>
      <c r="S10" s="406"/>
    </row>
    <row r="11" spans="2:19" ht="24.75" customHeight="1" thickBot="1">
      <c r="B11" s="407" t="str">
        <f>IF(OR(T3=FALSE,T4=FALSE,T5=FALSE,T6=FALSE),("Atenção - Não esqueça de preencher o(s) campo(s): -"&amp;IF(T3=FALSE," TOMADOR -","")&amp;IF(T4=FALSE," Nº DO CONTRATO -","")&amp;IF(T5=FALSE," NOME DA OBRA -","")&amp;IF(T6=FALSE," MUNICÍPIO ONDE SE LOCALIZA A OBRA -","")&amp;""),".")</f>
        <v>Atenção - Não esqueça de preencher o(s) campo(s): - Nº DO CONTRATO -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</row>
    <row r="12" spans="2:41" ht="35.25" customHeight="1">
      <c r="B12" s="408" t="s">
        <v>443</v>
      </c>
      <c r="C12" s="409"/>
      <c r="D12" s="409"/>
      <c r="E12" s="409"/>
      <c r="F12" s="409"/>
      <c r="G12" s="412" t="s">
        <v>444</v>
      </c>
      <c r="H12" s="413"/>
      <c r="I12" s="414"/>
      <c r="J12" s="177"/>
      <c r="K12" s="367" t="s">
        <v>445</v>
      </c>
      <c r="L12" s="368"/>
      <c r="M12" s="368"/>
      <c r="N12" s="368"/>
      <c r="O12" s="368"/>
      <c r="P12" s="368"/>
      <c r="Q12" s="368"/>
      <c r="R12" s="368"/>
      <c r="S12" s="369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</row>
    <row r="13" spans="2:19" ht="21.75" customHeight="1">
      <c r="B13" s="410"/>
      <c r="C13" s="411"/>
      <c r="D13" s="411"/>
      <c r="E13" s="411"/>
      <c r="F13" s="411"/>
      <c r="G13" s="415"/>
      <c r="H13" s="416"/>
      <c r="I13" s="417"/>
      <c r="J13" s="177"/>
      <c r="K13" s="418" t="s">
        <v>446</v>
      </c>
      <c r="L13" s="419"/>
      <c r="M13" s="419"/>
      <c r="N13" s="419" t="s">
        <v>447</v>
      </c>
      <c r="O13" s="419"/>
      <c r="P13" s="419"/>
      <c r="Q13" s="419" t="s">
        <v>448</v>
      </c>
      <c r="R13" s="419"/>
      <c r="S13" s="420"/>
    </row>
    <row r="14" spans="2:21" ht="16.5" customHeight="1">
      <c r="B14" s="400" t="s">
        <v>449</v>
      </c>
      <c r="C14" s="401"/>
      <c r="D14" s="401"/>
      <c r="E14" s="401"/>
      <c r="F14" s="401"/>
      <c r="G14" s="402">
        <v>3</v>
      </c>
      <c r="H14" s="403"/>
      <c r="I14" s="404"/>
      <c r="K14" s="392">
        <f>CHOOSE('[2]Plan4'!$B$17,'[2]Plan4'!C6,'[2]Plan4'!D6,'[2]Plan4'!E6,'[2]Plan4'!F6,'[2]Plan4'!G6,'[2]Plan4'!H6)</f>
        <v>3</v>
      </c>
      <c r="L14" s="393"/>
      <c r="M14" s="393"/>
      <c r="N14" s="393">
        <f>CHOOSE('[2]Plan4'!$B$17,'[2]Plan4'!I6,'[2]Plan4'!J6,'[2]Plan4'!K6,'[2]Plan4'!L6,'[2]Plan4'!M6,'[2]Plan4'!N6)</f>
        <v>4</v>
      </c>
      <c r="O14" s="393"/>
      <c r="P14" s="393"/>
      <c r="Q14" s="393">
        <f>CHOOSE('[2]Plan4'!$B$17,'[2]Plan4'!O6,'[2]Plan4'!P6,'[2]Plan4'!Q6,'[2]Plan4'!R6,'[2]Plan4'!S6,'[2]Plan4'!T6)</f>
        <v>5.5</v>
      </c>
      <c r="R14" s="393"/>
      <c r="S14" s="394"/>
      <c r="T14" s="188" t="str">
        <f aca="true" t="shared" si="0" ref="T14:T20">IF(G14&lt;K14," Atenção",IF(G14&gt;Q14,"Atenção","OK"))</f>
        <v>OK</v>
      </c>
      <c r="U14" s="177"/>
    </row>
    <row r="15" spans="2:20" ht="16.5" customHeight="1">
      <c r="B15" s="398" t="s">
        <v>450</v>
      </c>
      <c r="C15" s="399"/>
      <c r="D15" s="399"/>
      <c r="E15" s="399"/>
      <c r="F15" s="399"/>
      <c r="G15" s="389">
        <v>0.8</v>
      </c>
      <c r="H15" s="390"/>
      <c r="I15" s="391"/>
      <c r="K15" s="392">
        <f>CHOOSE('[2]Plan4'!$B$17,'[2]Plan4'!C7,'[2]Plan4'!D7,'[2]Plan4'!E7,'[2]Plan4'!F7,'[2]Plan4'!G7,'[2]Plan4'!H7)</f>
        <v>0.8</v>
      </c>
      <c r="L15" s="393"/>
      <c r="M15" s="393"/>
      <c r="N15" s="393">
        <f>CHOOSE('[2]Plan4'!$B$17,'[2]Plan4'!I7,'[2]Plan4'!J7,'[2]Plan4'!K7,'[2]Plan4'!L7,'[2]Plan4'!M7,'[2]Plan4'!N7)</f>
        <v>0.8</v>
      </c>
      <c r="O15" s="393"/>
      <c r="P15" s="393"/>
      <c r="Q15" s="393">
        <f>CHOOSE('[2]Plan4'!$B$17,'[2]Plan4'!O7,'[2]Plan4'!P7,'[2]Plan4'!Q7,'[2]Plan4'!R7,'[2]Plan4'!S7,'[2]Plan4'!T7)</f>
        <v>1</v>
      </c>
      <c r="R15" s="393"/>
      <c r="S15" s="394"/>
      <c r="T15" s="188" t="str">
        <f t="shared" si="0"/>
        <v>OK</v>
      </c>
    </row>
    <row r="16" spans="2:20" ht="16.5" customHeight="1">
      <c r="B16" s="398" t="s">
        <v>451</v>
      </c>
      <c r="C16" s="399"/>
      <c r="D16" s="399"/>
      <c r="E16" s="399"/>
      <c r="F16" s="399"/>
      <c r="G16" s="389">
        <v>0.97</v>
      </c>
      <c r="H16" s="390"/>
      <c r="I16" s="391"/>
      <c r="K16" s="392">
        <f>CHOOSE('[2]Plan4'!$B$17,'[2]Plan4'!C8,'[2]Plan4'!D8,'[2]Plan4'!E8,'[2]Plan4'!F8,'[2]Plan4'!G8,'[2]Plan4'!H8)</f>
        <v>0.97</v>
      </c>
      <c r="L16" s="393"/>
      <c r="M16" s="393"/>
      <c r="N16" s="393">
        <f>CHOOSE('[2]Plan4'!$B$17,'[2]Plan4'!I8,'[2]Plan4'!J8,'[2]Plan4'!K8,'[2]Plan4'!L8,'[2]Plan4'!M8,'[2]Plan4'!N8)</f>
        <v>1.27</v>
      </c>
      <c r="O16" s="393"/>
      <c r="P16" s="393"/>
      <c r="Q16" s="393">
        <f>CHOOSE('[2]Plan4'!$B$17,'[2]Plan4'!O8,'[2]Plan4'!P8,'[2]Plan4'!Q8,'[2]Plan4'!R8,'[2]Plan4'!S8,'[2]Plan4'!T8)</f>
        <v>1.27</v>
      </c>
      <c r="R16" s="393"/>
      <c r="S16" s="394"/>
      <c r="T16" s="188" t="str">
        <f t="shared" si="0"/>
        <v>OK</v>
      </c>
    </row>
    <row r="17" spans="2:20" ht="16.5" customHeight="1">
      <c r="B17" s="398" t="s">
        <v>452</v>
      </c>
      <c r="C17" s="399"/>
      <c r="D17" s="399"/>
      <c r="E17" s="399"/>
      <c r="F17" s="399"/>
      <c r="G17" s="389">
        <v>0.59</v>
      </c>
      <c r="H17" s="390"/>
      <c r="I17" s="391"/>
      <c r="K17" s="392">
        <f>CHOOSE('[2]Plan4'!$B$17,'[2]Plan4'!C9,'[2]Plan4'!D9,'[2]Plan4'!E9,'[2]Plan4'!F9,'[2]Plan4'!G9,'[2]Plan4'!H9)</f>
        <v>0.59</v>
      </c>
      <c r="L17" s="393"/>
      <c r="M17" s="393"/>
      <c r="N17" s="393">
        <f>CHOOSE('[2]Plan4'!$B$17,'[2]Plan4'!I9,'[2]Plan4'!J9,'[2]Plan4'!K9,'[2]Plan4'!L9,'[2]Plan4'!M9,'[2]Plan4'!N9)</f>
        <v>1.23</v>
      </c>
      <c r="O17" s="393"/>
      <c r="P17" s="393"/>
      <c r="Q17" s="393">
        <f>CHOOSE('[2]Plan4'!$B$17,'[2]Plan4'!O9,'[2]Plan4'!P9,'[2]Plan4'!Q9,'[2]Plan4'!R9,'[2]Plan4'!S9,'[2]Plan4'!T9)</f>
        <v>1.39</v>
      </c>
      <c r="R17" s="393"/>
      <c r="S17" s="394"/>
      <c r="T17" s="188" t="str">
        <f t="shared" si="0"/>
        <v>OK</v>
      </c>
    </row>
    <row r="18" spans="2:20" ht="16.5" customHeight="1">
      <c r="B18" s="398" t="s">
        <v>453</v>
      </c>
      <c r="C18" s="399"/>
      <c r="D18" s="399"/>
      <c r="E18" s="399"/>
      <c r="F18" s="399"/>
      <c r="G18" s="389">
        <v>6.578</v>
      </c>
      <c r="H18" s="390"/>
      <c r="I18" s="391"/>
      <c r="K18" s="392">
        <f>CHOOSE('[2]Plan4'!$B$17,'[2]Plan4'!C10,'[2]Plan4'!D10,'[2]Plan4'!E10,'[2]Plan4'!F10,'[2]Plan4'!G10,'[2]Plan4'!H10)</f>
        <v>6.16</v>
      </c>
      <c r="L18" s="393"/>
      <c r="M18" s="393"/>
      <c r="N18" s="393">
        <f>CHOOSE('[2]Plan4'!$B$17,'[2]Plan4'!I10,'[2]Plan4'!J10,'[2]Plan4'!K10,'[2]Plan4'!L10,'[2]Plan4'!M10,'[2]Plan4'!N10)</f>
        <v>7.4</v>
      </c>
      <c r="O18" s="393"/>
      <c r="P18" s="393"/>
      <c r="Q18" s="393">
        <f>CHOOSE('[2]Plan4'!$B$17,'[2]Plan4'!O10,'[2]Plan4'!P10,'[2]Plan4'!Q10,'[2]Plan4'!R10,'[2]Plan4'!S10,'[2]Plan4'!T10)</f>
        <v>8.96</v>
      </c>
      <c r="R18" s="393"/>
      <c r="S18" s="394"/>
      <c r="T18" s="188" t="str">
        <f t="shared" si="0"/>
        <v>OK</v>
      </c>
    </row>
    <row r="19" spans="2:22" ht="16.5" customHeight="1">
      <c r="B19" s="387" t="s">
        <v>454</v>
      </c>
      <c r="C19" s="388"/>
      <c r="D19" s="388"/>
      <c r="E19" s="388"/>
      <c r="F19" s="388"/>
      <c r="G19" s="389">
        <v>0.65</v>
      </c>
      <c r="H19" s="390"/>
      <c r="I19" s="391"/>
      <c r="K19" s="392">
        <f>CHOOSE('[2]Plan4'!$B$17,'[2]Plan4'!C11,'[2]Plan4'!D11,'[2]Plan4'!E11,'[2]Plan4'!F11,'[2]Plan4'!G11,'[2]Plan4'!H11)</f>
        <v>0.65</v>
      </c>
      <c r="L19" s="393"/>
      <c r="M19" s="393"/>
      <c r="N19" s="393">
        <f>CHOOSE('[2]Plan4'!$B$17,'[2]Plan4'!I11,'[2]Plan4'!J11,'[2]Plan4'!K11,'[2]Plan4'!L11,'[2]Plan4'!M11,'[2]Plan4'!N11)</f>
        <v>0.65</v>
      </c>
      <c r="O19" s="393"/>
      <c r="P19" s="393"/>
      <c r="Q19" s="393">
        <f>CHOOSE('[2]Plan4'!$B$17,'[2]Plan4'!O11,'[2]Plan4'!P11,'[2]Plan4'!Q11,'[2]Plan4'!R11,'[2]Plan4'!S11,'[2]Plan4'!T11)</f>
        <v>0.65</v>
      </c>
      <c r="R19" s="393"/>
      <c r="S19" s="394"/>
      <c r="T19" s="188" t="str">
        <f t="shared" si="0"/>
        <v>OK</v>
      </c>
      <c r="U19" s="189"/>
      <c r="V19" s="189"/>
    </row>
    <row r="20" spans="2:21" ht="16.5" customHeight="1">
      <c r="B20" s="387" t="s">
        <v>455</v>
      </c>
      <c r="C20" s="388"/>
      <c r="D20" s="388"/>
      <c r="E20" s="388"/>
      <c r="F20" s="388"/>
      <c r="G20" s="389">
        <v>3</v>
      </c>
      <c r="H20" s="390"/>
      <c r="I20" s="391"/>
      <c r="K20" s="392">
        <f>CHOOSE('[2]Plan4'!$B$17,'[2]Plan4'!C12,'[2]Plan4'!D12,'[2]Plan4'!E12,'[2]Plan4'!F12,'[2]Plan4'!G12,'[2]Plan4'!H12)</f>
        <v>3</v>
      </c>
      <c r="L20" s="393"/>
      <c r="M20" s="393"/>
      <c r="N20" s="393">
        <f>CHOOSE('[2]Plan4'!$B$17,'[2]Plan4'!I12,'[2]Plan4'!J12,'[2]Plan4'!K12,'[2]Plan4'!L12,'[2]Plan4'!M12,'[2]Plan4'!N12)</f>
        <v>3</v>
      </c>
      <c r="O20" s="393"/>
      <c r="P20" s="393"/>
      <c r="Q20" s="393">
        <f>CHOOSE('[2]Plan4'!$B$17,'[2]Plan4'!O12,'[2]Plan4'!P12,'[2]Plan4'!Q12,'[2]Plan4'!R12,'[2]Plan4'!S12,'[2]Plan4'!T12)</f>
        <v>3</v>
      </c>
      <c r="R20" s="393"/>
      <c r="S20" s="394"/>
      <c r="T20" s="188" t="str">
        <f t="shared" si="0"/>
        <v>OK</v>
      </c>
      <c r="U20" s="177"/>
    </row>
    <row r="21" spans="2:21" ht="16.5" customHeight="1">
      <c r="B21" s="387" t="s">
        <v>456</v>
      </c>
      <c r="C21" s="388"/>
      <c r="D21" s="388"/>
      <c r="E21" s="388"/>
      <c r="F21" s="388"/>
      <c r="G21" s="395">
        <f>R9*R10*100</f>
        <v>2</v>
      </c>
      <c r="H21" s="396"/>
      <c r="I21" s="397"/>
      <c r="K21" s="374">
        <f>CHOOSE('[2]Plan4'!$B$17,'[2]Plan4'!C13,'[2]Plan4'!D13,'[2]Plan4'!E13,'[2]Plan4'!F13,'[2]Plan4'!G13,'[2]Plan4'!H13)</f>
        <v>2</v>
      </c>
      <c r="L21" s="372"/>
      <c r="M21" s="372"/>
      <c r="N21" s="372">
        <f>CHOOSE('[2]Plan4'!$B$17,'[2]Plan4'!I13,'[2]Plan4'!J13,'[2]Plan4'!K13,'[2]Plan4'!L13,'[2]Plan4'!M13,'[2]Plan4'!N13)</f>
        <v>2</v>
      </c>
      <c r="O21" s="372"/>
      <c r="P21" s="372"/>
      <c r="Q21" s="372">
        <f>CHOOSE('[2]Plan4'!$B$17,'[2]Plan4'!O13,'[2]Plan4'!P13,'[2]Plan4'!Q13,'[2]Plan4'!R13,'[2]Plan4'!S13,'[2]Plan4'!T13)</f>
        <v>5</v>
      </c>
      <c r="R21" s="372"/>
      <c r="S21" s="373"/>
      <c r="T21" s="178"/>
      <c r="U21" s="177"/>
    </row>
    <row r="22" spans="2:19" ht="16.5" customHeight="1" thickBot="1">
      <c r="B22" s="375" t="s">
        <v>457</v>
      </c>
      <c r="C22" s="376"/>
      <c r="D22" s="376"/>
      <c r="E22" s="376"/>
      <c r="F22" s="376"/>
      <c r="G22" s="377">
        <f>IF('[2]Plan4'!B26=1,4.5,0)</f>
        <v>4.5</v>
      </c>
      <c r="H22" s="378"/>
      <c r="I22" s="379"/>
      <c r="J22" s="177"/>
      <c r="K22" s="380"/>
      <c r="L22" s="380"/>
      <c r="M22" s="380"/>
      <c r="N22" s="380"/>
      <c r="O22" s="380"/>
      <c r="P22" s="380"/>
      <c r="Q22" s="380"/>
      <c r="R22" s="380"/>
      <c r="S22" s="380"/>
    </row>
    <row r="23" spans="2:19" ht="26.25" customHeight="1" thickBot="1">
      <c r="B23" s="381" t="s">
        <v>458</v>
      </c>
      <c r="C23" s="382"/>
      <c r="D23" s="382"/>
      <c r="E23" s="382"/>
      <c r="F23" s="383"/>
      <c r="G23" s="384">
        <f>TRUNC((((((1+G14/100+G15/100+G16/100)*(1+G17/100)*(1+G18/100))/(1-(G19/100+G20/100+G21/100+G22/100)))-1)*100),2)</f>
        <v>25</v>
      </c>
      <c r="H23" s="385"/>
      <c r="I23" s="386"/>
      <c r="J23" s="177"/>
      <c r="K23" s="190"/>
      <c r="L23" s="191"/>
      <c r="M23" s="191"/>
      <c r="N23" s="191"/>
      <c r="O23" s="191"/>
      <c r="P23" s="191"/>
      <c r="Q23" s="191"/>
      <c r="R23" s="191"/>
      <c r="S23" s="192"/>
    </row>
    <row r="24" ht="15" customHeight="1"/>
    <row r="25" spans="2:19" ht="30.75" customHeight="1">
      <c r="B25" s="364" t="s">
        <v>459</v>
      </c>
      <c r="C25" s="365"/>
      <c r="D25" s="365"/>
      <c r="E25" s="365"/>
      <c r="F25" s="365"/>
      <c r="G25" s="365"/>
      <c r="H25" s="365"/>
      <c r="I25" s="366"/>
      <c r="J25" s="193"/>
      <c r="K25" s="367" t="s">
        <v>460</v>
      </c>
      <c r="L25" s="368"/>
      <c r="M25" s="368"/>
      <c r="N25" s="368"/>
      <c r="O25" s="368"/>
      <c r="P25" s="368"/>
      <c r="Q25" s="368"/>
      <c r="R25" s="368"/>
      <c r="S25" s="369"/>
    </row>
    <row r="26" spans="2:19" ht="22.5" customHeight="1">
      <c r="B26" s="370" t="s">
        <v>461</v>
      </c>
      <c r="C26" s="371"/>
      <c r="D26" s="371"/>
      <c r="E26" s="371"/>
      <c r="F26" s="371"/>
      <c r="G26" s="372">
        <f>TRUNC(((((1+G14/100+G15/100+G16/100)*(1+G17/100)*(1+G18/100))/(1-(G19/100+G20/100+G21/100)))-1)*100,2)</f>
        <v>19.04</v>
      </c>
      <c r="H26" s="372"/>
      <c r="I26" s="373"/>
      <c r="J26" s="176" t="str">
        <f>IF(G26&lt;K26," Atenção",IF(G26&gt;Q26,"Atenção","OK"))</f>
        <v> Atenção</v>
      </c>
      <c r="K26" s="374">
        <f>CHOOSE('[2]Plan4'!$B$17,'[2]Plan4'!O19,'[2]Plan4'!O20,'[2]Plan4'!O21,'[2]Plan4'!O22,'[2]Plan4'!O23,'[2]Plan4'!O24)</f>
        <v>20.34</v>
      </c>
      <c r="L26" s="372"/>
      <c r="M26" s="372"/>
      <c r="N26" s="372">
        <f>CHOOSE('[2]Plan4'!$B$17,'[2]Plan4'!Q19,'[2]Plan4'!Q20,'[2]Plan4'!Q21,'[2]Plan4'!Q22,'[2]Plan4'!Q23,'[2]Plan4'!Q24)</f>
        <v>22.12</v>
      </c>
      <c r="O26" s="372"/>
      <c r="P26" s="372"/>
      <c r="Q26" s="372">
        <f>CHOOSE('[2]Plan4'!$B$17,'[2]Plan4'!S19,'[2]Plan4'!S20,'[2]Plan4'!S21,'[2]Plan4'!S22,'[2]Plan4'!S23,'[2]Plan4'!S24)</f>
        <v>25</v>
      </c>
      <c r="R26" s="372"/>
      <c r="S26" s="373"/>
    </row>
    <row r="27" spans="2:19" ht="17.25" customHeight="1">
      <c r="B27" s="355" t="str">
        <f>IF(J26&lt;&gt;"OK","O valor de BDI sem a desoneração está fora da faixa admitida no Acórdão TCU Plenária 2622/2013.",".")</f>
        <v>O valor de BDI sem a desoneração está fora da faixa admitida no Acórdão TCU Plenária 2622/2013.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</row>
    <row r="28" spans="2:19" ht="15.75">
      <c r="B28" s="356" t="s">
        <v>462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</row>
    <row r="29" spans="2:19" ht="129" customHeight="1">
      <c r="B29" s="357" t="str">
        <f>"DECLARO que, de acordo com a legislação tributária do município de "&amp;G6&amp;", considerando a natureza da obra acima discriminada, para cálculo do valor de ISS a ser cobrado da empresa construtora, é aplicada a aliquota de "&amp;IF(G21="",0,G21)&amp;"% sobre o valor total da obra."&amp;"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"&amp;IF('[2]Plan4'!B26=1,"COM DESONERAÇÃO"&amp;" por ser a mais adequada ao Tomador "&amp;G3&amp;".",IF('[2]Plan4'!B26=2,"SEM DESONERAÇÃO","")&amp;" por ser a mais adequada ao Tomador "&amp;G3&amp;".")</f>
        <v>DECLARO que, de acordo com a legislação tributária do município de LONTRA, considerando a natureza da obra acima discriminada, para cálculo do valor de ISS a ser cobrado da empresa construtora, é aplicada a aliquota de 2% sobre o valor total da obra.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COM DESONERAÇÃO por ser a mais adequada ao Tomador PREFEITURA MUNICIPAL DE LONTRA.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</row>
    <row r="30" spans="2:19" ht="22.5" customHeight="1">
      <c r="B30" s="358" t="str">
        <f>IF(OR(T34=FALSE,T35=FALSE,T37=FALSE,J41=FALSE),("Atenção - Não esqueça de preencher o(s) campo(s): -"&amp;IF(T34=FALSE," Nº DA ART/RRT -","")&amp;IF(T35=FALSE," DATA -","")&amp;IF(T37=FALSE," IDENTIFICAÇÃO DO RESPONSÁVEL TÉCNICO -","")&amp;IF(J41=FALSE," IDENTIFICAÇÃO DO TOMADOR -","")&amp;""),".")</f>
        <v>Atenção - Não esqueça de preencher o(s) campo(s): - Nº DA ART/RRT - DATA -</v>
      </c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</row>
    <row r="31" spans="2:20" ht="12.75" customHeight="1">
      <c r="B31" s="178" t="s">
        <v>463</v>
      </c>
      <c r="T31" s="178"/>
    </row>
    <row r="32" spans="2:20" ht="38.25" customHeight="1">
      <c r="B32" s="359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1"/>
      <c r="T32" s="178"/>
    </row>
    <row r="33" ht="16.5" customHeight="1">
      <c r="T33" s="178"/>
    </row>
    <row r="34" spans="2:20" ht="19.5" customHeight="1">
      <c r="B34" s="338"/>
      <c r="C34" s="339"/>
      <c r="D34" s="339"/>
      <c r="E34" s="339"/>
      <c r="F34" s="339"/>
      <c r="G34" s="339"/>
      <c r="H34" s="339"/>
      <c r="I34" s="339"/>
      <c r="J34" s="362"/>
      <c r="K34" s="362"/>
      <c r="L34" s="362"/>
      <c r="M34" s="362"/>
      <c r="N34" s="362"/>
      <c r="O34" s="362"/>
      <c r="P34" s="362"/>
      <c r="Q34" s="362"/>
      <c r="R34" s="362"/>
      <c r="S34" s="363"/>
      <c r="T34" s="177" t="b">
        <f>IF(LEN(J34)&lt;4,FALSE,TRUE)</f>
        <v>0</v>
      </c>
    </row>
    <row r="35" spans="2:20" ht="14.25" customHeight="1">
      <c r="B35" s="341" t="s">
        <v>464</v>
      </c>
      <c r="C35" s="342"/>
      <c r="D35" s="342"/>
      <c r="E35" s="342"/>
      <c r="F35" s="342"/>
      <c r="G35" s="342"/>
      <c r="H35" s="342"/>
      <c r="I35" s="342"/>
      <c r="J35" s="350" t="s">
        <v>465</v>
      </c>
      <c r="K35" s="351"/>
      <c r="L35" s="351"/>
      <c r="M35" s="351"/>
      <c r="N35" s="351"/>
      <c r="O35" s="351"/>
      <c r="P35" s="351"/>
      <c r="Q35" s="351"/>
      <c r="R35" s="351"/>
      <c r="S35" s="352"/>
      <c r="T35" s="177" t="b">
        <f>IF(LEN(J36)&lt;4,FALSE,TRUE)</f>
        <v>0</v>
      </c>
    </row>
    <row r="36" spans="2:19" ht="12.75" customHeight="1">
      <c r="B36" s="344" t="s">
        <v>466</v>
      </c>
      <c r="C36" s="345"/>
      <c r="D36" s="345"/>
      <c r="E36" s="345"/>
      <c r="F36" s="345"/>
      <c r="G36" s="345"/>
      <c r="H36" s="345"/>
      <c r="I36" s="345"/>
      <c r="J36" s="353"/>
      <c r="K36" s="353"/>
      <c r="L36" s="353"/>
      <c r="M36" s="353"/>
      <c r="N36" s="353"/>
      <c r="O36" s="353"/>
      <c r="P36" s="353"/>
      <c r="Q36" s="353"/>
      <c r="R36" s="353"/>
      <c r="S36" s="354"/>
    </row>
    <row r="37" spans="2:20" ht="12.75" customHeight="1">
      <c r="B37" s="347" t="s">
        <v>468</v>
      </c>
      <c r="C37" s="348"/>
      <c r="D37" s="348"/>
      <c r="E37" s="348"/>
      <c r="F37" s="348"/>
      <c r="G37" s="348"/>
      <c r="H37" s="348"/>
      <c r="I37" s="348"/>
      <c r="J37" s="348" t="s">
        <v>469</v>
      </c>
      <c r="K37" s="348"/>
      <c r="L37" s="348"/>
      <c r="M37" s="348"/>
      <c r="N37" s="348"/>
      <c r="O37" s="348"/>
      <c r="P37" s="348"/>
      <c r="Q37" s="348"/>
      <c r="R37" s="348"/>
      <c r="S37" s="349"/>
      <c r="T37" s="177" t="b">
        <f>IF(LEN(B36)&lt;4,FALSE,TRUE)</f>
        <v>1</v>
      </c>
    </row>
    <row r="38" spans="2:19" ht="16.5" customHeight="1"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</row>
    <row r="39" spans="2:9" ht="19.5" customHeight="1">
      <c r="B39" s="338"/>
      <c r="C39" s="339"/>
      <c r="D39" s="339"/>
      <c r="E39" s="339"/>
      <c r="F39" s="339"/>
      <c r="G39" s="339"/>
      <c r="H39" s="339"/>
      <c r="I39" s="340"/>
    </row>
    <row r="40" spans="2:9" ht="12.75">
      <c r="B40" s="341" t="s">
        <v>470</v>
      </c>
      <c r="C40" s="342"/>
      <c r="D40" s="342"/>
      <c r="E40" s="342"/>
      <c r="F40" s="342"/>
      <c r="G40" s="342"/>
      <c r="H40" s="342"/>
      <c r="I40" s="343"/>
    </row>
    <row r="41" spans="2:10" ht="12.75">
      <c r="B41" s="344" t="s">
        <v>473</v>
      </c>
      <c r="C41" s="345"/>
      <c r="D41" s="345"/>
      <c r="E41" s="345"/>
      <c r="F41" s="345"/>
      <c r="G41" s="345"/>
      <c r="H41" s="345"/>
      <c r="I41" s="346"/>
      <c r="J41" s="177" t="b">
        <f>IF(LEN(B41)&lt;4,FALSE,TRUE)</f>
        <v>1</v>
      </c>
    </row>
    <row r="42" spans="2:20" ht="12.75">
      <c r="B42" s="347" t="s">
        <v>471</v>
      </c>
      <c r="C42" s="348"/>
      <c r="D42" s="348"/>
      <c r="E42" s="348"/>
      <c r="F42" s="348"/>
      <c r="G42" s="348"/>
      <c r="H42" s="348"/>
      <c r="I42" s="349"/>
      <c r="T42" s="178"/>
    </row>
    <row r="43" ht="12.75">
      <c r="T43" s="178"/>
    </row>
    <row r="49" ht="12.75" customHeight="1"/>
  </sheetData>
  <sheetProtection password="C664" sheet="1" objects="1" scenarios="1"/>
  <mergeCells count="94">
    <mergeCell ref="B1:S1"/>
    <mergeCell ref="B3:F3"/>
    <mergeCell ref="G3:S3"/>
    <mergeCell ref="B4:F4"/>
    <mergeCell ref="G4:S4"/>
    <mergeCell ref="B5:F5"/>
    <mergeCell ref="G5:S5"/>
    <mergeCell ref="B6:F6"/>
    <mergeCell ref="G6:S6"/>
    <mergeCell ref="B7:F7"/>
    <mergeCell ref="B8:F8"/>
    <mergeCell ref="B9:Q9"/>
    <mergeCell ref="R9:S9"/>
    <mergeCell ref="B10:Q10"/>
    <mergeCell ref="R10:S10"/>
    <mergeCell ref="B11:S11"/>
    <mergeCell ref="B12:F13"/>
    <mergeCell ref="G12:I13"/>
    <mergeCell ref="K12:S12"/>
    <mergeCell ref="K13:M13"/>
    <mergeCell ref="N13:P13"/>
    <mergeCell ref="Q13:S13"/>
    <mergeCell ref="B14:F14"/>
    <mergeCell ref="G14:I14"/>
    <mergeCell ref="K14:M14"/>
    <mergeCell ref="N14:P14"/>
    <mergeCell ref="Q14:S14"/>
    <mergeCell ref="B15:F15"/>
    <mergeCell ref="G15:I15"/>
    <mergeCell ref="K15:M15"/>
    <mergeCell ref="N15:P15"/>
    <mergeCell ref="Q15:S15"/>
    <mergeCell ref="B16:F16"/>
    <mergeCell ref="G16:I16"/>
    <mergeCell ref="K16:M16"/>
    <mergeCell ref="N16:P16"/>
    <mergeCell ref="Q16:S16"/>
    <mergeCell ref="B17:F17"/>
    <mergeCell ref="G17:I17"/>
    <mergeCell ref="K17:M17"/>
    <mergeCell ref="N17:P17"/>
    <mergeCell ref="Q17:S17"/>
    <mergeCell ref="B18:F18"/>
    <mergeCell ref="G18:I18"/>
    <mergeCell ref="K18:M18"/>
    <mergeCell ref="N18:P18"/>
    <mergeCell ref="Q18:S18"/>
    <mergeCell ref="B19:F19"/>
    <mergeCell ref="G19:I19"/>
    <mergeCell ref="K19:M19"/>
    <mergeCell ref="N19:P19"/>
    <mergeCell ref="Q19:S19"/>
    <mergeCell ref="B20:F20"/>
    <mergeCell ref="G20:I20"/>
    <mergeCell ref="K20:M20"/>
    <mergeCell ref="N20:P20"/>
    <mergeCell ref="Q20:S20"/>
    <mergeCell ref="B21:F21"/>
    <mergeCell ref="G21:I21"/>
    <mergeCell ref="K21:M21"/>
    <mergeCell ref="N21:P21"/>
    <mergeCell ref="Q21:S21"/>
    <mergeCell ref="B22:F22"/>
    <mergeCell ref="G22:I22"/>
    <mergeCell ref="K22:M22"/>
    <mergeCell ref="N22:P22"/>
    <mergeCell ref="Q22:S22"/>
    <mergeCell ref="B23:F23"/>
    <mergeCell ref="G23:I23"/>
    <mergeCell ref="B25:I25"/>
    <mergeCell ref="K25:S25"/>
    <mergeCell ref="B26:F26"/>
    <mergeCell ref="G26:I26"/>
    <mergeCell ref="K26:M26"/>
    <mergeCell ref="N26:P26"/>
    <mergeCell ref="Q26:S26"/>
    <mergeCell ref="J37:S37"/>
    <mergeCell ref="B27:S27"/>
    <mergeCell ref="B28:S28"/>
    <mergeCell ref="B29:S29"/>
    <mergeCell ref="B30:S30"/>
    <mergeCell ref="B32:S32"/>
    <mergeCell ref="B34:I34"/>
    <mergeCell ref="J34:S34"/>
    <mergeCell ref="B38:S38"/>
    <mergeCell ref="B39:I39"/>
    <mergeCell ref="B40:I40"/>
    <mergeCell ref="B41:I41"/>
    <mergeCell ref="B42:I42"/>
    <mergeCell ref="B35:I35"/>
    <mergeCell ref="J35:S35"/>
    <mergeCell ref="B36:I36"/>
    <mergeCell ref="J36:S36"/>
    <mergeCell ref="B37:I37"/>
  </mergeCells>
  <conditionalFormatting sqref="T14:T20 J26">
    <cfRule type="cellIs" priority="1" dxfId="6" operator="notEqual" stopIfTrue="1">
      <formula>"OK"</formula>
    </cfRule>
  </conditionalFormatting>
  <conditionalFormatting sqref="J34:S34 B36:S36 G3:S6 B32:S32 G14:I20 R9:S10 B41:I41">
    <cfRule type="cellIs" priority="2" dxfId="5" operator="equal" stopIfTrue="1">
      <formula>0</formula>
    </cfRule>
  </conditionalFormatting>
  <conditionalFormatting sqref="B11:S11">
    <cfRule type="cellIs" priority="3" dxfId="14" operator="notEqual" stopIfTrue="1">
      <formula>"."</formula>
    </cfRule>
  </conditionalFormatting>
  <conditionalFormatting sqref="B27:S27">
    <cfRule type="cellIs" priority="4" dxfId="15" operator="notEqual" stopIfTrue="1">
      <formula>"."</formula>
    </cfRule>
  </conditionalFormatting>
  <conditionalFormatting sqref="B30:S30">
    <cfRule type="cellIs" priority="5" dxfId="16" operator="notEqual" stopIfTrue="1">
      <formula>"."</formula>
    </cfRule>
  </conditionalFormatting>
  <printOptions/>
  <pageMargins left="0.787401575" right="0.787401575" top="0.49" bottom="0.5" header="0.492125985" footer="0.492125985"/>
  <pageSetup fitToHeight="1" fitToWidth="1" orientation="portrait" paperSize="9" scale="91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8">
      <selection activeCell="F16" sqref="F16:H16"/>
    </sheetView>
  </sheetViews>
  <sheetFormatPr defaultColWidth="9.140625" defaultRowHeight="12.75"/>
  <cols>
    <col min="11" max="11" width="6.00390625" style="0" customWidth="1"/>
    <col min="12" max="12" width="13.140625" style="0" customWidth="1"/>
  </cols>
  <sheetData>
    <row r="1" spans="1:18" ht="18">
      <c r="A1" s="484" t="s">
        <v>432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</row>
    <row r="2" spans="1:18" ht="12.7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ht="12.75">
      <c r="A3" s="485" t="s">
        <v>433</v>
      </c>
      <c r="B3" s="486"/>
      <c r="C3" s="486"/>
      <c r="D3" s="486"/>
      <c r="E3" s="486"/>
      <c r="F3" s="487" t="s">
        <v>434</v>
      </c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8"/>
    </row>
    <row r="4" spans="1:18" ht="12.75">
      <c r="A4" s="489" t="s">
        <v>435</v>
      </c>
      <c r="B4" s="490"/>
      <c r="C4" s="490"/>
      <c r="D4" s="490"/>
      <c r="E4" s="490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2"/>
    </row>
    <row r="5" spans="1:18" ht="12.75">
      <c r="A5" s="489" t="s">
        <v>436</v>
      </c>
      <c r="B5" s="490"/>
      <c r="C5" s="490"/>
      <c r="D5" s="490"/>
      <c r="E5" s="490"/>
      <c r="F5" s="491" t="s">
        <v>472</v>
      </c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2"/>
    </row>
    <row r="6" spans="1:18" ht="12.75">
      <c r="A6" s="489" t="s">
        <v>437</v>
      </c>
      <c r="B6" s="490"/>
      <c r="C6" s="490"/>
      <c r="D6" s="490"/>
      <c r="E6" s="490"/>
      <c r="F6" s="491" t="s">
        <v>438</v>
      </c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2"/>
    </row>
    <row r="7" spans="1:18" ht="12.75">
      <c r="A7" s="489" t="s">
        <v>439</v>
      </c>
      <c r="B7" s="490"/>
      <c r="C7" s="490"/>
      <c r="D7" s="490"/>
      <c r="E7" s="490"/>
      <c r="F7" s="163"/>
      <c r="G7" s="164"/>
      <c r="H7" s="164"/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18" ht="12.75">
      <c r="A8" s="505" t="s">
        <v>440</v>
      </c>
      <c r="B8" s="506"/>
      <c r="C8" s="506"/>
      <c r="D8" s="506"/>
      <c r="E8" s="506"/>
      <c r="F8" s="167"/>
      <c r="G8" s="168"/>
      <c r="H8" s="168"/>
      <c r="I8" s="169"/>
      <c r="J8" s="169"/>
      <c r="K8" s="169"/>
      <c r="L8" s="169"/>
      <c r="M8" s="169"/>
      <c r="N8" s="169"/>
      <c r="O8" s="169"/>
      <c r="P8" s="169"/>
      <c r="Q8" s="169"/>
      <c r="R8" s="170"/>
    </row>
    <row r="9" spans="1:18" ht="12.75">
      <c r="A9" s="503" t="s">
        <v>441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4">
        <v>1</v>
      </c>
      <c r="R9" s="504"/>
    </row>
    <row r="10" spans="1:18" ht="12.75">
      <c r="A10" s="503" t="s">
        <v>442</v>
      </c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2">
        <v>0.03</v>
      </c>
      <c r="R10" s="502"/>
    </row>
    <row r="11" spans="1:18" ht="13.5" thickBot="1">
      <c r="A11" s="470" t="str">
        <f>IF(OR(S3=FALSE,S4=FALSE,S5=FALSE,S6=FALSE),("Atenção - Não esqueça de preencher o(s) campo(s): -"&amp;IF(S3=FALSE," TOMADOR -","")&amp;IF(S4=FALSE," Nº DO CONTRATO -","")&amp;IF(S5=FALSE," NOME DA OBRA -","")&amp;IF(S6=FALSE," MUNICÍPIO ONDE SE LOCALIZA A OBRA -","")&amp;""),".")</f>
        <v>Atenção - Não esqueça de preencher o(s) campo(s): - TOMADOR - Nº DO CONTRATO - NOME DA OBRA - MUNICÍPIO ONDE SE LOCALIZA A OBRA -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</row>
    <row r="12" spans="1:18" ht="31.5" customHeight="1">
      <c r="A12" s="471" t="s">
        <v>443</v>
      </c>
      <c r="B12" s="472"/>
      <c r="C12" s="472"/>
      <c r="D12" s="472"/>
      <c r="E12" s="472"/>
      <c r="F12" s="475" t="s">
        <v>444</v>
      </c>
      <c r="G12" s="476"/>
      <c r="H12" s="477"/>
      <c r="I12" s="171"/>
      <c r="J12" s="456" t="s">
        <v>445</v>
      </c>
      <c r="K12" s="457"/>
      <c r="L12" s="457"/>
      <c r="M12" s="457"/>
      <c r="N12" s="457"/>
      <c r="O12" s="457"/>
      <c r="P12" s="457"/>
      <c r="Q12" s="457"/>
      <c r="R12" s="458"/>
    </row>
    <row r="13" spans="1:18" ht="12.75">
      <c r="A13" s="473"/>
      <c r="B13" s="474"/>
      <c r="C13" s="474"/>
      <c r="D13" s="474"/>
      <c r="E13" s="474"/>
      <c r="F13" s="478"/>
      <c r="G13" s="479"/>
      <c r="H13" s="480"/>
      <c r="I13" s="171"/>
      <c r="J13" s="481" t="s">
        <v>446</v>
      </c>
      <c r="K13" s="482"/>
      <c r="L13" s="482"/>
      <c r="M13" s="482" t="s">
        <v>447</v>
      </c>
      <c r="N13" s="482"/>
      <c r="O13" s="482"/>
      <c r="P13" s="482" t="s">
        <v>448</v>
      </c>
      <c r="Q13" s="482"/>
      <c r="R13" s="483"/>
    </row>
    <row r="14" spans="1:18" ht="15">
      <c r="A14" s="468" t="s">
        <v>449</v>
      </c>
      <c r="B14" s="469"/>
      <c r="C14" s="469"/>
      <c r="D14" s="469"/>
      <c r="E14" s="469"/>
      <c r="F14" s="402">
        <v>3.45</v>
      </c>
      <c r="G14" s="403"/>
      <c r="H14" s="404"/>
      <c r="I14" s="162"/>
      <c r="J14" s="392" t="str">
        <f>CHOOSE('[1]Plan4'!$B$17,'[1]Plan4'!B6,'[1]Plan4'!C6,'[1]Plan4'!D6,'[1]Plan4'!E6,'[1]Plan4'!F6,'[1]Plan4'!G6)</f>
        <v>AC: taxa de administração central</v>
      </c>
      <c r="K14" s="393"/>
      <c r="L14" s="393"/>
      <c r="M14" s="393">
        <f>CHOOSE('[1]Plan4'!$B$17,'[1]Plan4'!H6,'[1]Plan4'!I6,'[1]Plan4'!J6,'[1]Plan4'!K6,'[1]Plan4'!L6,'[1]Plan4'!M6)</f>
        <v>1.5</v>
      </c>
      <c r="N14" s="393"/>
      <c r="O14" s="393"/>
      <c r="P14" s="393">
        <f>CHOOSE('[1]Plan4'!$B$17,'[1]Plan4'!N6,'[1]Plan4'!O6,'[1]Plan4'!P6,'[1]Plan4'!Q6,'[1]Plan4'!R6,'[1]Plan4'!S6)</f>
        <v>3.45</v>
      </c>
      <c r="Q14" s="393"/>
      <c r="R14" s="394"/>
    </row>
    <row r="15" spans="1:18" ht="15">
      <c r="A15" s="466" t="s">
        <v>450</v>
      </c>
      <c r="B15" s="467"/>
      <c r="C15" s="467"/>
      <c r="D15" s="467"/>
      <c r="E15" s="467"/>
      <c r="F15" s="389">
        <v>0.48</v>
      </c>
      <c r="G15" s="390"/>
      <c r="H15" s="391"/>
      <c r="I15" s="162"/>
      <c r="J15" s="392" t="str">
        <f>CHOOSE('[1]Plan4'!$B$17,'[1]Plan4'!B7,'[1]Plan4'!C7,'[1]Plan4'!D7,'[1]Plan4'!E7,'[1]Plan4'!F7,'[1]Plan4'!G7)</f>
        <v>S+G: taxa de seguros e garantias</v>
      </c>
      <c r="K15" s="393"/>
      <c r="L15" s="393"/>
      <c r="M15" s="393">
        <f>CHOOSE('[1]Plan4'!$B$17,'[1]Plan4'!H7,'[1]Plan4'!I7,'[1]Plan4'!J7,'[1]Plan4'!K7,'[1]Plan4'!L7,'[1]Plan4'!M7)</f>
        <v>0.3</v>
      </c>
      <c r="N15" s="393"/>
      <c r="O15" s="393"/>
      <c r="P15" s="393">
        <f>CHOOSE('[1]Plan4'!$B$17,'[1]Plan4'!N7,'[1]Plan4'!O7,'[1]Plan4'!P7,'[1]Plan4'!Q7,'[1]Plan4'!R7,'[1]Plan4'!S7)</f>
        <v>0.48</v>
      </c>
      <c r="Q15" s="393"/>
      <c r="R15" s="394"/>
    </row>
    <row r="16" spans="1:18" ht="15">
      <c r="A16" s="466" t="s">
        <v>451</v>
      </c>
      <c r="B16" s="467"/>
      <c r="C16" s="467"/>
      <c r="D16" s="467"/>
      <c r="E16" s="467"/>
      <c r="F16" s="389">
        <v>0.97</v>
      </c>
      <c r="G16" s="390"/>
      <c r="H16" s="391"/>
      <c r="I16" s="162"/>
      <c r="J16" s="392" t="str">
        <f>CHOOSE('[1]Plan4'!$B$17,'[1]Plan4'!B8,'[1]Plan4'!C8,'[1]Plan4'!D8,'[1]Plan4'!E8,'[1]Plan4'!F8,'[1]Plan4'!G8)</f>
        <v>R: taxa de riscos</v>
      </c>
      <c r="K16" s="393"/>
      <c r="L16" s="393"/>
      <c r="M16" s="393">
        <f>CHOOSE('[1]Plan4'!$B$17,'[1]Plan4'!H8,'[1]Plan4'!I8,'[1]Plan4'!J8,'[1]Plan4'!K8,'[1]Plan4'!L8,'[1]Plan4'!M8)</f>
        <v>0.56</v>
      </c>
      <c r="N16" s="393"/>
      <c r="O16" s="393"/>
      <c r="P16" s="393">
        <f>CHOOSE('[1]Plan4'!$B$17,'[1]Plan4'!N8,'[1]Plan4'!O8,'[1]Plan4'!P8,'[1]Plan4'!Q8,'[1]Plan4'!R8,'[1]Plan4'!S8)</f>
        <v>0.85</v>
      </c>
      <c r="Q16" s="393"/>
      <c r="R16" s="394"/>
    </row>
    <row r="17" spans="1:18" ht="15">
      <c r="A17" s="466" t="s">
        <v>452</v>
      </c>
      <c r="B17" s="467"/>
      <c r="C17" s="467"/>
      <c r="D17" s="467"/>
      <c r="E17" s="467"/>
      <c r="F17" s="389">
        <v>0.59</v>
      </c>
      <c r="G17" s="390"/>
      <c r="H17" s="391"/>
      <c r="I17" s="162"/>
      <c r="J17" s="392" t="str">
        <f>CHOOSE('[1]Plan4'!$B$17,'[1]Plan4'!B9,'[1]Plan4'!C9,'[1]Plan4'!D9,'[1]Plan4'!E9,'[1]Plan4'!F9,'[1]Plan4'!G9)</f>
        <v>DF: taxa de despesas financeiras</v>
      </c>
      <c r="K17" s="393"/>
      <c r="L17" s="393"/>
      <c r="M17" s="393">
        <f>CHOOSE('[1]Plan4'!$B$17,'[1]Plan4'!H9,'[1]Plan4'!I9,'[1]Plan4'!J9,'[1]Plan4'!K9,'[1]Plan4'!L9,'[1]Plan4'!M9)</f>
        <v>0.85</v>
      </c>
      <c r="N17" s="393"/>
      <c r="O17" s="393"/>
      <c r="P17" s="393">
        <f>CHOOSE('[1]Plan4'!$B$17,'[1]Plan4'!N9,'[1]Plan4'!O9,'[1]Plan4'!P9,'[1]Plan4'!Q9,'[1]Plan4'!R9,'[1]Plan4'!S9)</f>
        <v>0.85</v>
      </c>
      <c r="Q17" s="393"/>
      <c r="R17" s="394"/>
    </row>
    <row r="18" spans="1:18" ht="15">
      <c r="A18" s="466" t="s">
        <v>453</v>
      </c>
      <c r="B18" s="467"/>
      <c r="C18" s="467"/>
      <c r="D18" s="467"/>
      <c r="E18" s="467"/>
      <c r="F18" s="389">
        <v>6.16</v>
      </c>
      <c r="G18" s="390"/>
      <c r="H18" s="391"/>
      <c r="I18" s="162"/>
      <c r="J18" s="392" t="str">
        <f>CHOOSE('[1]Plan4'!$B$17,'[1]Plan4'!B10,'[1]Plan4'!C10,'[1]Plan4'!D10,'[1]Plan4'!E10,'[1]Plan4'!F10,'[1]Plan4'!G10)</f>
        <v>L: taxa de lucro/remuneração</v>
      </c>
      <c r="K18" s="393"/>
      <c r="L18" s="393"/>
      <c r="M18" s="393">
        <f>CHOOSE('[1]Plan4'!$B$17,'[1]Plan4'!H10,'[1]Plan4'!I10,'[1]Plan4'!J10,'[1]Plan4'!K10,'[1]Plan4'!L10,'[1]Plan4'!M10)</f>
        <v>3.5</v>
      </c>
      <c r="N18" s="393"/>
      <c r="O18" s="393"/>
      <c r="P18" s="393">
        <f>CHOOSE('[1]Plan4'!$B$17,'[1]Plan4'!N10,'[1]Plan4'!O10,'[1]Plan4'!P10,'[1]Plan4'!Q10,'[1]Plan4'!R10,'[1]Plan4'!S10)</f>
        <v>5.11</v>
      </c>
      <c r="Q18" s="393"/>
      <c r="R18" s="394"/>
    </row>
    <row r="19" spans="1:18" ht="15">
      <c r="A19" s="464" t="s">
        <v>454</v>
      </c>
      <c r="B19" s="465"/>
      <c r="C19" s="465"/>
      <c r="D19" s="465"/>
      <c r="E19" s="465"/>
      <c r="F19" s="389">
        <v>0.65</v>
      </c>
      <c r="G19" s="390"/>
      <c r="H19" s="391"/>
      <c r="I19" s="162"/>
      <c r="J19" s="392" t="str">
        <f>CHOOSE('[1]Plan4'!$B$17,'[1]Plan4'!B11,'[1]Plan4'!C11,'[1]Plan4'!D11,'[1]Plan4'!E11,'[1]Plan4'!F11,'[1]Plan4'!G11)</f>
        <v>PIS</v>
      </c>
      <c r="K19" s="393"/>
      <c r="L19" s="393"/>
      <c r="M19" s="393">
        <f>CHOOSE('[1]Plan4'!$B$17,'[1]Plan4'!H11,'[1]Plan4'!I11,'[1]Plan4'!J11,'[1]Plan4'!K11,'[1]Plan4'!L11,'[1]Plan4'!M11)</f>
        <v>0.65</v>
      </c>
      <c r="N19" s="393"/>
      <c r="O19" s="393"/>
      <c r="P19" s="393">
        <f>CHOOSE('[1]Plan4'!$B$17,'[1]Plan4'!N11,'[1]Plan4'!O11,'[1]Plan4'!P11,'[1]Plan4'!Q11,'[1]Plan4'!R11,'[1]Plan4'!S11)</f>
        <v>0.65</v>
      </c>
      <c r="Q19" s="393"/>
      <c r="R19" s="394"/>
    </row>
    <row r="20" spans="1:18" ht="15">
      <c r="A20" s="464" t="s">
        <v>455</v>
      </c>
      <c r="B20" s="465"/>
      <c r="C20" s="465"/>
      <c r="D20" s="465"/>
      <c r="E20" s="465"/>
      <c r="F20" s="389">
        <v>3</v>
      </c>
      <c r="G20" s="390"/>
      <c r="H20" s="391"/>
      <c r="I20" s="162"/>
      <c r="J20" s="392" t="str">
        <f>CHOOSE('[1]Plan4'!$B$17,'[1]Plan4'!B12,'[1]Plan4'!C12,'[1]Plan4'!D12,'[1]Plan4'!E12,'[1]Plan4'!F12,'[1]Plan4'!G12)</f>
        <v>COFINS</v>
      </c>
      <c r="K20" s="393"/>
      <c r="L20" s="393"/>
      <c r="M20" s="393">
        <f>CHOOSE('[1]Plan4'!$B$17,'[1]Plan4'!H12,'[1]Plan4'!I12,'[1]Plan4'!J12,'[1]Plan4'!K12,'[1]Plan4'!L12,'[1]Plan4'!M12)</f>
        <v>3</v>
      </c>
      <c r="N20" s="393"/>
      <c r="O20" s="393"/>
      <c r="P20" s="393">
        <f>CHOOSE('[1]Plan4'!$B$17,'[1]Plan4'!N12,'[1]Plan4'!O12,'[1]Plan4'!P12,'[1]Plan4'!Q12,'[1]Plan4'!R12,'[1]Plan4'!S12)</f>
        <v>3</v>
      </c>
      <c r="Q20" s="393"/>
      <c r="R20" s="394"/>
    </row>
    <row r="21" spans="1:18" ht="15">
      <c r="A21" s="464" t="s">
        <v>456</v>
      </c>
      <c r="B21" s="465"/>
      <c r="C21" s="465"/>
      <c r="D21" s="465"/>
      <c r="E21" s="465"/>
      <c r="F21" s="395">
        <f>Q9*Q10*100</f>
        <v>3</v>
      </c>
      <c r="G21" s="396"/>
      <c r="H21" s="397"/>
      <c r="I21" s="162"/>
      <c r="J21" s="374" t="str">
        <f>CHOOSE('[1]Plan4'!$B$17,'[1]Plan4'!B13,'[1]Plan4'!C13,'[1]Plan4'!D13,'[1]Plan4'!E13,'[1]Plan4'!F13,'[1]Plan4'!G13)</f>
        <v>ISSQN</v>
      </c>
      <c r="K21" s="372"/>
      <c r="L21" s="372"/>
      <c r="M21" s="372">
        <f>CHOOSE('[1]Plan4'!$B$17,'[1]Plan4'!H13,'[1]Plan4'!I13,'[1]Plan4'!J13,'[1]Plan4'!K13,'[1]Plan4'!L13,'[1]Plan4'!M13)</f>
        <v>2</v>
      </c>
      <c r="N21" s="372"/>
      <c r="O21" s="372"/>
      <c r="P21" s="372">
        <f>CHOOSE('[1]Plan4'!$B$17,'[1]Plan4'!N13,'[1]Plan4'!O13,'[1]Plan4'!P13,'[1]Plan4'!Q13,'[1]Plan4'!R13,'[1]Plan4'!S13)</f>
        <v>2</v>
      </c>
      <c r="Q21" s="372"/>
      <c r="R21" s="373"/>
    </row>
    <row r="22" spans="1:18" ht="15.75" thickBot="1">
      <c r="A22" s="496" t="s">
        <v>457</v>
      </c>
      <c r="B22" s="497"/>
      <c r="C22" s="497"/>
      <c r="D22" s="497"/>
      <c r="E22" s="497"/>
      <c r="F22" s="377">
        <f>IF('[1]Plan4'!A26=1,4.5,0)</f>
        <v>0</v>
      </c>
      <c r="G22" s="378"/>
      <c r="H22" s="379"/>
      <c r="I22" s="171"/>
      <c r="J22" s="380"/>
      <c r="K22" s="380"/>
      <c r="L22" s="380"/>
      <c r="M22" s="380"/>
      <c r="N22" s="380"/>
      <c r="O22" s="380"/>
      <c r="P22" s="380"/>
      <c r="Q22" s="380"/>
      <c r="R22" s="380"/>
    </row>
    <row r="23" spans="1:18" ht="18.75" thickBot="1">
      <c r="A23" s="450" t="s">
        <v>458</v>
      </c>
      <c r="B23" s="451"/>
      <c r="C23" s="451"/>
      <c r="D23" s="451"/>
      <c r="E23" s="452"/>
      <c r="F23" s="384">
        <f>TRUNC((((((1+F14/100+F15/100+F16/100)*(1+F17/100)*(1+F18/100))/(1-(F19/100+F20/100+F21/100+F22/100)))-1)*100),2)</f>
        <v>19.99</v>
      </c>
      <c r="G23" s="385"/>
      <c r="H23" s="386"/>
      <c r="I23" s="171"/>
      <c r="J23" s="172"/>
      <c r="K23" s="173"/>
      <c r="L23" s="173"/>
      <c r="M23" s="173"/>
      <c r="N23" s="173"/>
      <c r="O23" s="173"/>
      <c r="P23" s="173"/>
      <c r="Q23" s="173"/>
      <c r="R23" s="174"/>
    </row>
    <row r="24" spans="1:18" ht="12.7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18" ht="25.5" customHeight="1">
      <c r="A25" s="453" t="s">
        <v>459</v>
      </c>
      <c r="B25" s="454"/>
      <c r="C25" s="454"/>
      <c r="D25" s="454"/>
      <c r="E25" s="454"/>
      <c r="F25" s="454"/>
      <c r="G25" s="454"/>
      <c r="H25" s="455"/>
      <c r="I25" s="175"/>
      <c r="J25" s="456" t="s">
        <v>460</v>
      </c>
      <c r="K25" s="457"/>
      <c r="L25" s="457"/>
      <c r="M25" s="457"/>
      <c r="N25" s="457"/>
      <c r="O25" s="457"/>
      <c r="P25" s="457"/>
      <c r="Q25" s="457"/>
      <c r="R25" s="458"/>
    </row>
    <row r="26" spans="1:18" ht="12.75">
      <c r="A26" s="500" t="s">
        <v>461</v>
      </c>
      <c r="B26" s="501"/>
      <c r="C26" s="501"/>
      <c r="D26" s="501"/>
      <c r="E26" s="501"/>
      <c r="F26" s="372">
        <f>TRUNC(((((1+F14/100+F15/100+F16/100)*(1+F17/100)*(1+F18/100))/(1-(F19/100+F20/100+F21/100)))-1)*100,2)</f>
        <v>19.99</v>
      </c>
      <c r="G26" s="372"/>
      <c r="H26" s="373"/>
      <c r="I26" s="176" t="str">
        <f>IF(F26&lt;J26," Atenção",IF(F26&gt;P26,"Atenção","OK"))</f>
        <v>Atenção</v>
      </c>
      <c r="J26" s="374">
        <f>CHOOSE('[1]Plan4'!$B$17,'[1]Plan4'!N19,'[1]Plan4'!N20,'[1]Plan4'!N21,'[1]Plan4'!N22,'[1]Plan4'!N23,'[1]Plan4'!N24)</f>
        <v>0</v>
      </c>
      <c r="K26" s="372"/>
      <c r="L26" s="372"/>
      <c r="M26" s="372">
        <f>CHOOSE('[1]Plan4'!$B$17,'[1]Plan4'!P19,'[1]Plan4'!P20,'[1]Plan4'!P21,'[1]Plan4'!P22,'[1]Plan4'!P23,'[1]Plan4'!P24)</f>
        <v>0</v>
      </c>
      <c r="N26" s="372"/>
      <c r="O26" s="372"/>
      <c r="P26" s="372">
        <f>CHOOSE('[1]Plan4'!$B$17,'[1]Plan4'!R19,'[1]Plan4'!R20,'[1]Plan4'!R21,'[1]Plan4'!R22,'[1]Plan4'!R23,'[1]Plan4'!R24)</f>
        <v>0</v>
      </c>
      <c r="Q26" s="372"/>
      <c r="R26" s="373"/>
    </row>
    <row r="27" spans="1:18" ht="12.75">
      <c r="A27" s="436" t="str">
        <f>IF(I26&lt;&gt;"OK","O valor de BDI sem a desoneração está fora da faixa admitida no Acórdão TCU Plenária 2622/2013.",".")</f>
        <v>O valor de BDI sem a desoneração está fora da faixa admitida no Acórdão TCU Plenária 2622/2013.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</row>
    <row r="28" spans="1:18" ht="15.75">
      <c r="A28" s="437" t="s">
        <v>462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</row>
    <row r="29" spans="1:18" ht="12.75">
      <c r="A29" s="438" t="str">
        <f>"DECLARO que, de acordo com a legislação tributária do município de "&amp;F6&amp;", considerando a natureza da obra acima discriminada, para cálculo do valor de ISS a ser cobrado da empresa construtora, é aplicada a aliquota de "&amp;IF(F21="",0,F21)&amp;"% sobre o valor total da obra."&amp;"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"&amp;IF('[1]Plan4'!A26=1,"COM DESONERAÇÃO"&amp;" por ser a mais adequada ao Tomador "&amp;F3&amp;".",IF('[1]Plan4'!A26=2,"SEM DESONERAÇÃO","")&amp;" por ser a mais adequada ao Tomador "&amp;F3&amp;".")</f>
        <v>DECLARO que, de acordo com a legislação tributária do município de LONTRA, considerando a natureza da obra acima discriminada, para cálculo do valor de ISS a ser cobrado da empresa construtora, é aplicada a aliquota de 3% sobre o valor total da obra.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 por ser a mais adequada ao Tomador PREFEITURA MUNICIPAL DE LONTRA.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</row>
    <row r="30" spans="1:18" ht="12.75">
      <c r="A30" s="439" t="str">
        <f>IF(OR(S34=FALSE,S35=FALSE,S37=FALSE,I41=FALSE),("Atenção - Não esqueça de preencher o(s) campo(s): -"&amp;IF(S34=FALSE," Nº DA ART/RRT -","")&amp;IF(S35=FALSE," DATA -","")&amp;IF(S37=FALSE," IDENTIFICAÇÃO DO RESPONSÁVEL TÉCNICO -","")&amp;IF(I41=FALSE," IDENTIFICAÇÃO DO TOMADOR -","")&amp;""),".")</f>
        <v>Atenção - Não esqueça de preencher o(s) campo(s): - Nº DA ART/RRT - DATA - IDENTIFICAÇÃO DO RESPONSÁVEL TÉCNICO - IDENTIFICAÇÃO DO TOMADOR -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</row>
    <row r="31" spans="1:18" ht="12.75">
      <c r="A31" s="162" t="s">
        <v>463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8" ht="12.75">
      <c r="A32" s="461"/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3"/>
    </row>
    <row r="33" spans="1:18" ht="12.7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18" ht="12.75">
      <c r="A34" s="444"/>
      <c r="B34" s="445"/>
      <c r="C34" s="445"/>
      <c r="D34" s="445"/>
      <c r="E34" s="445"/>
      <c r="F34" s="445"/>
      <c r="G34" s="445"/>
      <c r="H34" s="445"/>
      <c r="I34" s="498"/>
      <c r="J34" s="498"/>
      <c r="K34" s="498"/>
      <c r="L34" s="498"/>
      <c r="M34" s="498"/>
      <c r="N34" s="498"/>
      <c r="O34" s="498"/>
      <c r="P34" s="498"/>
      <c r="Q34" s="498"/>
      <c r="R34" s="499"/>
    </row>
    <row r="35" spans="1:18" ht="12.75">
      <c r="A35" s="447" t="s">
        <v>464</v>
      </c>
      <c r="B35" s="448"/>
      <c r="C35" s="448"/>
      <c r="D35" s="448"/>
      <c r="E35" s="448"/>
      <c r="F35" s="448"/>
      <c r="G35" s="448"/>
      <c r="H35" s="448"/>
      <c r="I35" s="493" t="s">
        <v>465</v>
      </c>
      <c r="J35" s="494"/>
      <c r="K35" s="494"/>
      <c r="L35" s="494"/>
      <c r="M35" s="494"/>
      <c r="N35" s="494"/>
      <c r="O35" s="494"/>
      <c r="P35" s="494"/>
      <c r="Q35" s="494"/>
      <c r="R35" s="495"/>
    </row>
    <row r="36" spans="1:18" ht="12.75">
      <c r="A36" s="433" t="s">
        <v>466</v>
      </c>
      <c r="B36" s="434"/>
      <c r="C36" s="434"/>
      <c r="D36" s="434"/>
      <c r="E36" s="434"/>
      <c r="F36" s="434"/>
      <c r="G36" s="434"/>
      <c r="H36" s="434"/>
      <c r="I36" s="459" t="s">
        <v>467</v>
      </c>
      <c r="J36" s="459"/>
      <c r="K36" s="459"/>
      <c r="L36" s="459"/>
      <c r="M36" s="459"/>
      <c r="N36" s="459"/>
      <c r="O36" s="459"/>
      <c r="P36" s="459"/>
      <c r="Q36" s="459"/>
      <c r="R36" s="460"/>
    </row>
    <row r="37" spans="1:18" ht="12.75">
      <c r="A37" s="440" t="s">
        <v>468</v>
      </c>
      <c r="B37" s="441"/>
      <c r="C37" s="441"/>
      <c r="D37" s="441"/>
      <c r="E37" s="441"/>
      <c r="F37" s="441"/>
      <c r="G37" s="441"/>
      <c r="H37" s="441"/>
      <c r="I37" s="441" t="s">
        <v>469</v>
      </c>
      <c r="J37" s="441"/>
      <c r="K37" s="441"/>
      <c r="L37" s="441"/>
      <c r="M37" s="441"/>
      <c r="N37" s="441"/>
      <c r="O37" s="441"/>
      <c r="P37" s="441"/>
      <c r="Q37" s="441"/>
      <c r="R37" s="442"/>
    </row>
    <row r="38" spans="1:18" ht="12.75">
      <c r="A38" s="443"/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</row>
    <row r="39" spans="1:18" ht="12.75">
      <c r="A39" s="444"/>
      <c r="B39" s="445"/>
      <c r="C39" s="445"/>
      <c r="D39" s="445"/>
      <c r="E39" s="445"/>
      <c r="F39" s="445"/>
      <c r="G39" s="445"/>
      <c r="H39" s="446"/>
      <c r="I39" s="162"/>
      <c r="J39" s="162"/>
      <c r="K39" s="162"/>
      <c r="L39" s="162"/>
      <c r="M39" s="162"/>
      <c r="N39" s="162"/>
      <c r="O39" s="162"/>
      <c r="P39" s="162"/>
      <c r="Q39" s="162"/>
      <c r="R39" s="162"/>
    </row>
    <row r="40" spans="1:18" ht="12.75">
      <c r="A40" s="447" t="s">
        <v>470</v>
      </c>
      <c r="B40" s="448"/>
      <c r="C40" s="448"/>
      <c r="D40" s="448"/>
      <c r="E40" s="448"/>
      <c r="F40" s="448"/>
      <c r="G40" s="448"/>
      <c r="H40" s="449"/>
      <c r="I40" s="162"/>
      <c r="J40" s="162"/>
      <c r="K40" s="162"/>
      <c r="L40" s="162"/>
      <c r="M40" s="162"/>
      <c r="N40" s="162"/>
      <c r="O40" s="162"/>
      <c r="P40" s="162"/>
      <c r="Q40" s="162"/>
      <c r="R40" s="162"/>
    </row>
    <row r="41" spans="1:18" ht="12.75">
      <c r="A41" s="433"/>
      <c r="B41" s="434"/>
      <c r="C41" s="434"/>
      <c r="D41" s="434"/>
      <c r="E41" s="434"/>
      <c r="F41" s="434"/>
      <c r="G41" s="434"/>
      <c r="H41" s="435"/>
      <c r="I41" s="171" t="b">
        <f>IF(LEN(A41)&lt;4,FALSE,TRUE)</f>
        <v>0</v>
      </c>
      <c r="J41" s="162"/>
      <c r="K41" s="162"/>
      <c r="L41" s="162"/>
      <c r="M41" s="162"/>
      <c r="N41" s="162"/>
      <c r="O41" s="162"/>
      <c r="P41" s="162"/>
      <c r="Q41" s="162"/>
      <c r="R41" s="162"/>
    </row>
    <row r="42" spans="1:18" ht="12.75">
      <c r="A42" s="440" t="s">
        <v>471</v>
      </c>
      <c r="B42" s="441"/>
      <c r="C42" s="441"/>
      <c r="D42" s="441"/>
      <c r="E42" s="441"/>
      <c r="F42" s="441"/>
      <c r="G42" s="441"/>
      <c r="H42" s="442"/>
      <c r="I42" s="162"/>
      <c r="J42" s="162"/>
      <c r="K42" s="162"/>
      <c r="L42" s="162"/>
      <c r="M42" s="162"/>
      <c r="N42" s="162"/>
      <c r="O42" s="162"/>
      <c r="P42" s="162"/>
      <c r="Q42" s="162"/>
      <c r="R42" s="162"/>
    </row>
    <row r="43" spans="1:18" ht="12.7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</row>
    <row r="44" spans="1:18" ht="12.7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</row>
  </sheetData>
  <sheetProtection/>
  <mergeCells count="94">
    <mergeCell ref="A9:P9"/>
    <mergeCell ref="Q9:R9"/>
    <mergeCell ref="A10:P10"/>
    <mergeCell ref="A6:E6"/>
    <mergeCell ref="F6:R6"/>
    <mergeCell ref="A7:E7"/>
    <mergeCell ref="A8:E8"/>
    <mergeCell ref="A5:E5"/>
    <mergeCell ref="F5:R5"/>
    <mergeCell ref="A34:H34"/>
    <mergeCell ref="I34:R34"/>
    <mergeCell ref="A26:E26"/>
    <mergeCell ref="F26:H26"/>
    <mergeCell ref="J26:L26"/>
    <mergeCell ref="M26:O26"/>
    <mergeCell ref="P26:R26"/>
    <mergeCell ref="Q10:R10"/>
    <mergeCell ref="A1:R1"/>
    <mergeCell ref="A3:E3"/>
    <mergeCell ref="F3:R3"/>
    <mergeCell ref="A4:E4"/>
    <mergeCell ref="F4:R4"/>
    <mergeCell ref="A35:H35"/>
    <mergeCell ref="I35:R35"/>
    <mergeCell ref="A22:E22"/>
    <mergeCell ref="F22:H22"/>
    <mergeCell ref="J22:L22"/>
    <mergeCell ref="A11:R11"/>
    <mergeCell ref="A12:E13"/>
    <mergeCell ref="F12:H13"/>
    <mergeCell ref="J12:R12"/>
    <mergeCell ref="J13:L13"/>
    <mergeCell ref="M13:O13"/>
    <mergeCell ref="P13:R13"/>
    <mergeCell ref="A14:E14"/>
    <mergeCell ref="F14:H14"/>
    <mergeCell ref="J14:L14"/>
    <mergeCell ref="M14:O14"/>
    <mergeCell ref="P14:R14"/>
    <mergeCell ref="A15:E15"/>
    <mergeCell ref="F15:H15"/>
    <mergeCell ref="J15:L15"/>
    <mergeCell ref="M15:O15"/>
    <mergeCell ref="P15:R15"/>
    <mergeCell ref="A16:E16"/>
    <mergeCell ref="F16:H16"/>
    <mergeCell ref="J16:L16"/>
    <mergeCell ref="M16:O16"/>
    <mergeCell ref="P16:R16"/>
    <mergeCell ref="A17:E17"/>
    <mergeCell ref="F17:H17"/>
    <mergeCell ref="J17:L17"/>
    <mergeCell ref="M17:O17"/>
    <mergeCell ref="P17:R17"/>
    <mergeCell ref="A18:E18"/>
    <mergeCell ref="F18:H18"/>
    <mergeCell ref="J18:L18"/>
    <mergeCell ref="M18:O18"/>
    <mergeCell ref="P18:R18"/>
    <mergeCell ref="A19:E19"/>
    <mergeCell ref="F19:H19"/>
    <mergeCell ref="J19:L19"/>
    <mergeCell ref="M19:O19"/>
    <mergeCell ref="P19:R19"/>
    <mergeCell ref="A20:E20"/>
    <mergeCell ref="F20:H20"/>
    <mergeCell ref="J20:L20"/>
    <mergeCell ref="M20:O20"/>
    <mergeCell ref="P20:R20"/>
    <mergeCell ref="A21:E21"/>
    <mergeCell ref="F21:H21"/>
    <mergeCell ref="J21:L21"/>
    <mergeCell ref="M21:O21"/>
    <mergeCell ref="P21:R21"/>
    <mergeCell ref="A40:H40"/>
    <mergeCell ref="M22:O22"/>
    <mergeCell ref="P22:R22"/>
    <mergeCell ref="A23:E23"/>
    <mergeCell ref="F23:H23"/>
    <mergeCell ref="A25:H25"/>
    <mergeCell ref="J25:R25"/>
    <mergeCell ref="A36:H36"/>
    <mergeCell ref="I36:R36"/>
    <mergeCell ref="A32:R32"/>
    <mergeCell ref="A41:H41"/>
    <mergeCell ref="A27:R27"/>
    <mergeCell ref="A28:R28"/>
    <mergeCell ref="A29:R29"/>
    <mergeCell ref="A30:R30"/>
    <mergeCell ref="A42:H42"/>
    <mergeCell ref="A37:H37"/>
    <mergeCell ref="I37:R37"/>
    <mergeCell ref="A38:R38"/>
    <mergeCell ref="A39:H39"/>
  </mergeCells>
  <conditionalFormatting sqref="I26">
    <cfRule type="cellIs" priority="1" dxfId="6" operator="notEqual" stopIfTrue="1">
      <formula>"OK"</formula>
    </cfRule>
  </conditionalFormatting>
  <conditionalFormatting sqref="I34:R34 A36:R36 F3:R6 A32:R32 F14:H20 Q9:R10 A41:H41">
    <cfRule type="cellIs" priority="2" dxfId="5" operator="equal" stopIfTrue="1">
      <formula>0</formula>
    </cfRule>
  </conditionalFormatting>
  <conditionalFormatting sqref="A11:R11">
    <cfRule type="cellIs" priority="3" dxfId="14" operator="notEqual" stopIfTrue="1">
      <formula>"."</formula>
    </cfRule>
  </conditionalFormatting>
  <conditionalFormatting sqref="A27:R27">
    <cfRule type="cellIs" priority="4" dxfId="15" operator="notEqual" stopIfTrue="1">
      <formula>"."</formula>
    </cfRule>
  </conditionalFormatting>
  <conditionalFormatting sqref="A30:R30">
    <cfRule type="cellIs" priority="5" dxfId="16" operator="notEqual" stopIfTrue="1">
      <formula>"."</formula>
    </cfRule>
  </conditionalFormatting>
  <printOptions/>
  <pageMargins left="0.511811024" right="0.511811024" top="0.787401575" bottom="0.787401575" header="0.31496062" footer="0.31496062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90" zoomScaleNormal="98" zoomScaleSheetLayoutView="90" zoomScalePageLayoutView="0" workbookViewId="0" topLeftCell="A19">
      <selection activeCell="A28" sqref="A28:I30"/>
    </sheetView>
  </sheetViews>
  <sheetFormatPr defaultColWidth="9.140625" defaultRowHeight="12.75"/>
  <cols>
    <col min="1" max="1" width="10.57421875" style="6" customWidth="1"/>
    <col min="2" max="2" width="10.140625" style="6" customWidth="1"/>
    <col min="3" max="3" width="13.140625" style="6" customWidth="1"/>
    <col min="4" max="4" width="58.00390625" style="8" customWidth="1"/>
    <col min="5" max="5" width="8.00390625" style="6" customWidth="1"/>
    <col min="6" max="6" width="12.8515625" style="6" bestFit="1" customWidth="1"/>
    <col min="7" max="7" width="17.7109375" style="0" customWidth="1"/>
    <col min="8" max="8" width="15.8515625" style="0" customWidth="1"/>
    <col min="9" max="9" width="13.28125" style="0" customWidth="1"/>
    <col min="10" max="10" width="54.7109375" style="0" customWidth="1"/>
  </cols>
  <sheetData>
    <row r="1" spans="1:9" ht="110.25" customHeight="1" thickBot="1">
      <c r="A1" s="244"/>
      <c r="B1" s="245"/>
      <c r="C1" s="245"/>
      <c r="D1" s="245"/>
      <c r="E1" s="245"/>
      <c r="F1" s="245"/>
      <c r="G1" s="245"/>
      <c r="H1" s="245"/>
      <c r="I1" s="246"/>
    </row>
    <row r="2" spans="1:9" ht="18" customHeight="1" thickBot="1">
      <c r="A2" s="247" t="s">
        <v>210</v>
      </c>
      <c r="B2" s="248"/>
      <c r="C2" s="248"/>
      <c r="D2" s="248"/>
      <c r="E2" s="248"/>
      <c r="F2" s="248"/>
      <c r="G2" s="248"/>
      <c r="H2" s="248"/>
      <c r="I2" s="249"/>
    </row>
    <row r="3" spans="1:3" ht="10.5" customHeight="1" thickBot="1">
      <c r="A3" s="7"/>
      <c r="B3" s="7"/>
      <c r="C3" s="7"/>
    </row>
    <row r="4" spans="1:9" ht="26.25" customHeight="1" thickBot="1">
      <c r="A4" s="12" t="s">
        <v>122</v>
      </c>
      <c r="B4" s="509" t="s">
        <v>262</v>
      </c>
      <c r="C4" s="509"/>
      <c r="D4" s="509"/>
      <c r="E4" s="509"/>
      <c r="F4" s="509"/>
      <c r="G4" s="509"/>
      <c r="H4" s="510"/>
      <c r="I4" s="74" t="s">
        <v>133</v>
      </c>
    </row>
    <row r="5" spans="1:9" ht="12.75">
      <c r="A5" s="13" t="s">
        <v>123</v>
      </c>
      <c r="B5" s="237" t="s">
        <v>215</v>
      </c>
      <c r="C5" s="237"/>
      <c r="D5" s="237"/>
      <c r="E5" s="237"/>
      <c r="F5" s="237"/>
      <c r="G5" s="237"/>
      <c r="H5" s="238"/>
      <c r="I5" s="253">
        <v>0.25</v>
      </c>
    </row>
    <row r="6" spans="1:9" ht="13.5" thickBot="1">
      <c r="A6" s="14" t="s">
        <v>124</v>
      </c>
      <c r="B6" s="239" t="s">
        <v>235</v>
      </c>
      <c r="C6" s="239"/>
      <c r="D6" s="239"/>
      <c r="E6" s="239"/>
      <c r="F6" s="239"/>
      <c r="G6" s="239"/>
      <c r="H6" s="240"/>
      <c r="I6" s="254"/>
    </row>
    <row r="7" spans="1:9" ht="15.75" thickBot="1">
      <c r="A7" s="250" t="s">
        <v>0</v>
      </c>
      <c r="B7" s="251"/>
      <c r="C7" s="251"/>
      <c r="D7" s="251"/>
      <c r="E7" s="251"/>
      <c r="F7" s="251"/>
      <c r="G7" s="251"/>
      <c r="H7" s="251"/>
      <c r="I7" s="252"/>
    </row>
    <row r="8" ht="5.25" customHeight="1"/>
    <row r="9" spans="1:9" ht="12.75">
      <c r="A9" s="2" t="s">
        <v>1</v>
      </c>
      <c r="B9" s="2" t="s">
        <v>134</v>
      </c>
      <c r="C9" s="2" t="s">
        <v>135</v>
      </c>
      <c r="D9" s="9" t="s">
        <v>2</v>
      </c>
      <c r="E9" s="2" t="s">
        <v>3</v>
      </c>
      <c r="F9" s="2" t="s">
        <v>4</v>
      </c>
      <c r="G9" s="3" t="s">
        <v>137</v>
      </c>
      <c r="H9" s="3" t="s">
        <v>138</v>
      </c>
      <c r="I9" s="4" t="s">
        <v>5</v>
      </c>
    </row>
    <row r="10" spans="1:9" ht="7.5" customHeight="1">
      <c r="A10" s="53"/>
      <c r="B10" s="53"/>
      <c r="C10" s="53"/>
      <c r="D10" s="54"/>
      <c r="E10" s="53"/>
      <c r="F10" s="53"/>
      <c r="G10" s="36"/>
      <c r="H10" s="36"/>
      <c r="I10" s="36"/>
    </row>
    <row r="11" spans="1:9" ht="9" customHeight="1" thickBot="1">
      <c r="A11" s="53"/>
      <c r="B11" s="53"/>
      <c r="C11" s="53"/>
      <c r="D11" s="54"/>
      <c r="E11" s="53"/>
      <c r="F11" s="53"/>
      <c r="G11" s="36"/>
      <c r="H11" s="36"/>
      <c r="I11" s="36"/>
    </row>
    <row r="12" spans="1:9" ht="13.5" thickBot="1">
      <c r="A12" s="10" t="s">
        <v>22</v>
      </c>
      <c r="B12" s="22"/>
      <c r="C12" s="22"/>
      <c r="D12" s="226" t="s">
        <v>21</v>
      </c>
      <c r="E12" s="227"/>
      <c r="F12" s="227"/>
      <c r="G12" s="227"/>
      <c r="H12" s="227"/>
      <c r="I12" s="228"/>
    </row>
    <row r="13" spans="1:9" ht="12.75">
      <c r="A13" s="25" t="s">
        <v>23</v>
      </c>
      <c r="B13" s="75" t="s">
        <v>147</v>
      </c>
      <c r="C13" s="44" t="s">
        <v>139</v>
      </c>
      <c r="D13" s="94" t="s">
        <v>153</v>
      </c>
      <c r="E13" s="49" t="s">
        <v>19</v>
      </c>
      <c r="F13" s="55">
        <f>F14</f>
        <v>42</v>
      </c>
      <c r="G13" s="56">
        <v>47.94</v>
      </c>
      <c r="H13" s="56">
        <f>ROUND(G13*1.25,2)</f>
        <v>59.93</v>
      </c>
      <c r="I13" s="56">
        <f>F13*H13</f>
        <v>2517.06</v>
      </c>
    </row>
    <row r="14" spans="1:9" ht="25.5">
      <c r="A14" s="24" t="s">
        <v>24</v>
      </c>
      <c r="B14" s="24">
        <v>96522</v>
      </c>
      <c r="C14" s="34" t="s">
        <v>141</v>
      </c>
      <c r="D14" s="35" t="s">
        <v>154</v>
      </c>
      <c r="E14" s="28" t="s">
        <v>19</v>
      </c>
      <c r="F14" s="55">
        <f>70*0.3*2</f>
        <v>42</v>
      </c>
      <c r="G14" s="59">
        <v>104.88</v>
      </c>
      <c r="H14" s="56">
        <f>ROUND(G14*1.25,2)</f>
        <v>131.1</v>
      </c>
      <c r="I14" s="56">
        <f>F14*H14</f>
        <v>5506.2</v>
      </c>
    </row>
    <row r="15" spans="1:9" ht="12.75">
      <c r="A15" s="24" t="s">
        <v>25</v>
      </c>
      <c r="B15" s="24">
        <v>101616</v>
      </c>
      <c r="C15" s="24" t="s">
        <v>141</v>
      </c>
      <c r="D15" s="26" t="s">
        <v>20</v>
      </c>
      <c r="E15" s="24" t="s">
        <v>34</v>
      </c>
      <c r="F15" s="55">
        <f>70*0.9</f>
        <v>63</v>
      </c>
      <c r="G15" s="59">
        <v>4.33</v>
      </c>
      <c r="H15" s="56">
        <f>ROUND(G15*1.25,2)</f>
        <v>5.41</v>
      </c>
      <c r="I15" s="56">
        <f>F15*H15</f>
        <v>340.83</v>
      </c>
    </row>
    <row r="16" spans="1:9" ht="12.75">
      <c r="A16" s="223" t="s">
        <v>35</v>
      </c>
      <c r="B16" s="223"/>
      <c r="C16" s="223"/>
      <c r="D16" s="223"/>
      <c r="E16" s="223"/>
      <c r="F16" s="223"/>
      <c r="G16" s="223"/>
      <c r="H16" s="19"/>
      <c r="I16" s="1">
        <f>SUM(I13:I15)</f>
        <v>8364.09</v>
      </c>
    </row>
    <row r="17" spans="1:9" ht="12.75">
      <c r="A17" s="53"/>
      <c r="B17" s="53"/>
      <c r="C17" s="53"/>
      <c r="D17" s="54"/>
      <c r="E17" s="53"/>
      <c r="F17" s="53"/>
      <c r="G17" s="36"/>
      <c r="H17" s="36"/>
      <c r="I17" s="36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11"/>
      <c r="J18" s="31"/>
    </row>
    <row r="19" spans="1:9" ht="13.5" thickBot="1">
      <c r="A19" s="53"/>
      <c r="B19" s="53"/>
      <c r="C19" s="53"/>
      <c r="D19" s="54"/>
      <c r="E19" s="53"/>
      <c r="F19" s="53"/>
      <c r="G19" s="36"/>
      <c r="H19" s="36"/>
      <c r="I19" s="36"/>
    </row>
    <row r="20" spans="1:9" ht="13.5" thickBot="1">
      <c r="A20" s="10" t="s">
        <v>111</v>
      </c>
      <c r="B20" s="22"/>
      <c r="C20" s="22"/>
      <c r="D20" s="232" t="s">
        <v>115</v>
      </c>
      <c r="E20" s="227"/>
      <c r="F20" s="227"/>
      <c r="G20" s="227"/>
      <c r="H20" s="227"/>
      <c r="I20" s="228"/>
    </row>
    <row r="21" spans="1:9" ht="31.5" customHeight="1">
      <c r="A21" s="75" t="s">
        <v>113</v>
      </c>
      <c r="B21" s="77" t="s">
        <v>151</v>
      </c>
      <c r="C21" s="44" t="s">
        <v>150</v>
      </c>
      <c r="D21" s="35" t="s">
        <v>171</v>
      </c>
      <c r="E21" s="28" t="s">
        <v>69</v>
      </c>
      <c r="F21" s="55">
        <v>70</v>
      </c>
      <c r="G21" s="59">
        <v>34.54</v>
      </c>
      <c r="H21" s="59">
        <f>ROUND(G21*1.25,2)</f>
        <v>43.18</v>
      </c>
      <c r="I21" s="59">
        <f>F21*H21</f>
        <v>3022.6</v>
      </c>
    </row>
    <row r="22" spans="1:9" ht="12.75">
      <c r="A22" s="223" t="s">
        <v>114</v>
      </c>
      <c r="B22" s="223"/>
      <c r="C22" s="223"/>
      <c r="D22" s="223"/>
      <c r="E22" s="223"/>
      <c r="F22" s="223"/>
      <c r="G22" s="223"/>
      <c r="H22" s="19"/>
      <c r="I22" s="1">
        <f>SUM(I21:I21)</f>
        <v>3022.6</v>
      </c>
    </row>
    <row r="23" spans="1:9" ht="12.75">
      <c r="A23" s="223"/>
      <c r="B23" s="223"/>
      <c r="C23" s="223"/>
      <c r="D23" s="223"/>
      <c r="E23" s="223"/>
      <c r="F23" s="223"/>
      <c r="G23" s="223"/>
      <c r="H23" s="19"/>
      <c r="I23" s="1"/>
    </row>
    <row r="24" spans="1:9" ht="12.75">
      <c r="A24" s="53"/>
      <c r="B24" s="53"/>
      <c r="C24" s="53"/>
      <c r="D24" s="54"/>
      <c r="E24" s="53"/>
      <c r="F24" s="53"/>
      <c r="G24" s="36"/>
      <c r="H24" s="36"/>
      <c r="I24" s="36"/>
    </row>
    <row r="25" spans="1:10" ht="12.75">
      <c r="A25" s="53"/>
      <c r="B25" s="53"/>
      <c r="C25" s="53"/>
      <c r="D25" s="54"/>
      <c r="E25" s="53"/>
      <c r="F25" s="53"/>
      <c r="G25" s="36"/>
      <c r="H25" s="36"/>
      <c r="I25" s="36"/>
      <c r="J25" s="41"/>
    </row>
    <row r="26" spans="1:9" ht="12.75">
      <c r="A26" s="256" t="s">
        <v>132</v>
      </c>
      <c r="B26" s="256"/>
      <c r="C26" s="256"/>
      <c r="D26" s="256"/>
      <c r="E26" s="256"/>
      <c r="F26" s="256"/>
      <c r="G26" s="256"/>
      <c r="H26" s="20"/>
      <c r="I26" s="5">
        <f>I22+I16</f>
        <v>11386.69</v>
      </c>
    </row>
    <row r="27" spans="1:9" ht="33" customHeight="1">
      <c r="A27" s="508" t="s">
        <v>263</v>
      </c>
      <c r="B27" s="508"/>
      <c r="C27" s="508"/>
      <c r="D27" s="508"/>
      <c r="E27" s="508"/>
      <c r="F27" s="508"/>
      <c r="G27" s="508"/>
      <c r="H27" s="508"/>
      <c r="I27" s="508"/>
    </row>
    <row r="28" spans="1:9" ht="12.75" customHeight="1">
      <c r="A28" s="507" t="s">
        <v>264</v>
      </c>
      <c r="B28" s="507"/>
      <c r="C28" s="507"/>
      <c r="D28" s="507"/>
      <c r="E28" s="507"/>
      <c r="F28" s="507"/>
      <c r="G28" s="507"/>
      <c r="H28" s="507"/>
      <c r="I28" s="507"/>
    </row>
    <row r="29" spans="1:9" ht="12.75" customHeight="1">
      <c r="A29" s="507"/>
      <c r="B29" s="507"/>
      <c r="C29" s="507"/>
      <c r="D29" s="507"/>
      <c r="E29" s="507"/>
      <c r="F29" s="507"/>
      <c r="G29" s="507"/>
      <c r="H29" s="507"/>
      <c r="I29" s="507"/>
    </row>
    <row r="30" spans="1:9" ht="60.75" customHeight="1">
      <c r="A30" s="507"/>
      <c r="B30" s="507"/>
      <c r="C30" s="507"/>
      <c r="D30" s="507"/>
      <c r="E30" s="507"/>
      <c r="F30" s="507"/>
      <c r="G30" s="507"/>
      <c r="H30" s="507"/>
      <c r="I30" s="507"/>
    </row>
  </sheetData>
  <sheetProtection/>
  <mergeCells count="15">
    <mergeCell ref="A7:I7"/>
    <mergeCell ref="D12:I12"/>
    <mergeCell ref="A16:G16"/>
    <mergeCell ref="A1:I1"/>
    <mergeCell ref="A2:I2"/>
    <mergeCell ref="B4:H4"/>
    <mergeCell ref="B5:H5"/>
    <mergeCell ref="I5:I6"/>
    <mergeCell ref="B6:H6"/>
    <mergeCell ref="A23:G23"/>
    <mergeCell ref="A26:G26"/>
    <mergeCell ref="A28:I30"/>
    <mergeCell ref="A27:I27"/>
    <mergeCell ref="D20:I20"/>
    <mergeCell ref="A22:G22"/>
  </mergeCells>
  <conditionalFormatting sqref="F22:H23 F26:H26 F9:H9 F16:H16 F18:H1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90" zoomScaleNormal="98" zoomScaleSheetLayoutView="90" zoomScalePageLayoutView="0" workbookViewId="0" topLeftCell="A10">
      <selection activeCell="J26" sqref="J26"/>
    </sheetView>
  </sheetViews>
  <sheetFormatPr defaultColWidth="9.140625" defaultRowHeight="12.75"/>
  <cols>
    <col min="1" max="1" width="10.57421875" style="6" customWidth="1"/>
    <col min="2" max="2" width="10.140625" style="6" customWidth="1"/>
    <col min="3" max="3" width="13.140625" style="6" customWidth="1"/>
    <col min="4" max="4" width="58.00390625" style="8" customWidth="1"/>
    <col min="5" max="5" width="8.00390625" style="6" customWidth="1"/>
    <col min="6" max="6" width="12.8515625" style="6" bestFit="1" customWidth="1"/>
    <col min="7" max="7" width="17.7109375" style="0" customWidth="1"/>
    <col min="8" max="8" width="15.8515625" style="0" customWidth="1"/>
    <col min="9" max="9" width="13.28125" style="0" customWidth="1"/>
    <col min="10" max="10" width="54.7109375" style="0" customWidth="1"/>
  </cols>
  <sheetData>
    <row r="1" spans="1:9" ht="110.25" customHeight="1" thickBot="1">
      <c r="A1" s="244"/>
      <c r="B1" s="245"/>
      <c r="C1" s="245"/>
      <c r="D1" s="245"/>
      <c r="E1" s="245"/>
      <c r="F1" s="245"/>
      <c r="G1" s="245"/>
      <c r="H1" s="245"/>
      <c r="I1" s="246"/>
    </row>
    <row r="2" spans="1:9" ht="18" customHeight="1" thickBot="1">
      <c r="A2" s="247" t="s">
        <v>210</v>
      </c>
      <c r="B2" s="248"/>
      <c r="C2" s="248"/>
      <c r="D2" s="248"/>
      <c r="E2" s="248"/>
      <c r="F2" s="248"/>
      <c r="G2" s="248"/>
      <c r="H2" s="248"/>
      <c r="I2" s="249"/>
    </row>
    <row r="3" spans="1:9" ht="36" customHeight="1" thickBot="1">
      <c r="A3" s="511" t="s">
        <v>265</v>
      </c>
      <c r="B3" s="511"/>
      <c r="C3" s="511"/>
      <c r="D3" s="511"/>
      <c r="E3" s="511"/>
      <c r="F3" s="511"/>
      <c r="G3" s="511"/>
      <c r="H3" s="511"/>
      <c r="I3" s="511"/>
    </row>
    <row r="4" spans="1:9" ht="26.25" customHeight="1" thickBot="1">
      <c r="A4" s="12" t="s">
        <v>122</v>
      </c>
      <c r="B4" s="509" t="s">
        <v>259</v>
      </c>
      <c r="C4" s="509"/>
      <c r="D4" s="509"/>
      <c r="E4" s="509"/>
      <c r="F4" s="509"/>
      <c r="G4" s="509"/>
      <c r="H4" s="510"/>
      <c r="I4" s="74" t="s">
        <v>133</v>
      </c>
    </row>
    <row r="5" spans="1:9" ht="12.75">
      <c r="A5" s="13" t="s">
        <v>123</v>
      </c>
      <c r="B5" s="237" t="s">
        <v>215</v>
      </c>
      <c r="C5" s="237"/>
      <c r="D5" s="237"/>
      <c r="E5" s="237"/>
      <c r="F5" s="237"/>
      <c r="G5" s="237"/>
      <c r="H5" s="238"/>
      <c r="I5" s="253">
        <v>0.25</v>
      </c>
    </row>
    <row r="6" spans="1:9" ht="13.5" thickBot="1">
      <c r="A6" s="14" t="s">
        <v>124</v>
      </c>
      <c r="B6" s="239" t="s">
        <v>235</v>
      </c>
      <c r="C6" s="239"/>
      <c r="D6" s="239"/>
      <c r="E6" s="239"/>
      <c r="F6" s="239"/>
      <c r="G6" s="239"/>
      <c r="H6" s="240"/>
      <c r="I6" s="254"/>
    </row>
    <row r="7" spans="1:9" ht="15.75" thickBot="1">
      <c r="A7" s="250" t="s">
        <v>0</v>
      </c>
      <c r="B7" s="251"/>
      <c r="C7" s="251"/>
      <c r="D7" s="251"/>
      <c r="E7" s="251"/>
      <c r="F7" s="251"/>
      <c r="G7" s="251"/>
      <c r="H7" s="251"/>
      <c r="I7" s="252"/>
    </row>
    <row r="8" ht="5.25" customHeight="1"/>
    <row r="9" spans="1:9" ht="12.75">
      <c r="A9" s="2" t="s">
        <v>1</v>
      </c>
      <c r="B9" s="2" t="s">
        <v>134</v>
      </c>
      <c r="C9" s="2" t="s">
        <v>135</v>
      </c>
      <c r="D9" s="9" t="s">
        <v>2</v>
      </c>
      <c r="E9" s="2" t="s">
        <v>3</v>
      </c>
      <c r="F9" s="2" t="s">
        <v>4</v>
      </c>
      <c r="G9" s="3" t="s">
        <v>137</v>
      </c>
      <c r="H9" s="3" t="s">
        <v>138</v>
      </c>
      <c r="I9" s="4" t="s">
        <v>5</v>
      </c>
    </row>
    <row r="10" spans="1:9" ht="7.5" customHeight="1">
      <c r="A10" s="53"/>
      <c r="B10" s="53"/>
      <c r="C10" s="53"/>
      <c r="D10" s="54"/>
      <c r="E10" s="53"/>
      <c r="F10" s="53"/>
      <c r="G10" s="36"/>
      <c r="H10" s="36"/>
      <c r="I10" s="36"/>
    </row>
    <row r="11" spans="1:9" ht="13.5" thickBot="1">
      <c r="A11" s="53"/>
      <c r="B11" s="53"/>
      <c r="C11" s="53"/>
      <c r="D11" s="54"/>
      <c r="E11" s="53"/>
      <c r="F11" s="53"/>
      <c r="G11" s="36"/>
      <c r="H11" s="36"/>
      <c r="I11" s="36"/>
    </row>
    <row r="12" spans="1:9" ht="13.5" thickBot="1">
      <c r="A12" s="10" t="s">
        <v>86</v>
      </c>
      <c r="B12" s="22"/>
      <c r="C12" s="22"/>
      <c r="D12" s="226" t="s">
        <v>85</v>
      </c>
      <c r="E12" s="227"/>
      <c r="F12" s="227"/>
      <c r="G12" s="227"/>
      <c r="H12" s="227"/>
      <c r="I12" s="228"/>
    </row>
    <row r="13" spans="1:9" ht="12.75">
      <c r="A13" s="25"/>
      <c r="B13" s="75"/>
      <c r="C13" s="75"/>
      <c r="D13" s="83"/>
      <c r="E13" s="75"/>
      <c r="F13" s="151"/>
      <c r="G13" s="144"/>
      <c r="H13" s="67"/>
      <c r="I13" s="67"/>
    </row>
    <row r="14" spans="1:9" ht="12.75">
      <c r="A14" s="25"/>
      <c r="B14" s="50"/>
      <c r="C14" s="77"/>
      <c r="D14" s="152"/>
      <c r="E14" s="77"/>
      <c r="F14" s="140"/>
      <c r="G14" s="153"/>
      <c r="H14" s="67"/>
      <c r="I14" s="67"/>
    </row>
    <row r="15" spans="1:9" ht="25.5">
      <c r="A15" s="25" t="s">
        <v>89</v>
      </c>
      <c r="B15" s="77" t="s">
        <v>248</v>
      </c>
      <c r="C15" s="77" t="s">
        <v>139</v>
      </c>
      <c r="D15" s="79" t="s">
        <v>249</v>
      </c>
      <c r="E15" s="77" t="s">
        <v>34</v>
      </c>
      <c r="F15" s="140">
        <v>23</v>
      </c>
      <c r="G15" s="144">
        <v>65</v>
      </c>
      <c r="H15" s="67">
        <f>ROUND(G15*1.25,2)</f>
        <v>81.25</v>
      </c>
      <c r="I15" s="67">
        <f>F15*H15</f>
        <v>1868.75</v>
      </c>
    </row>
    <row r="16" spans="1:9" ht="12.75">
      <c r="A16" s="25" t="s">
        <v>90</v>
      </c>
      <c r="B16" s="77" t="s">
        <v>250</v>
      </c>
      <c r="C16" s="77" t="s">
        <v>139</v>
      </c>
      <c r="D16" s="79" t="s">
        <v>251</v>
      </c>
      <c r="E16" s="77" t="s">
        <v>34</v>
      </c>
      <c r="F16" s="140">
        <v>50</v>
      </c>
      <c r="G16" s="144">
        <v>18</v>
      </c>
      <c r="H16" s="67">
        <f>ROUND(G16*1.25,2)</f>
        <v>22.5</v>
      </c>
      <c r="I16" s="67">
        <f>F16*H16</f>
        <v>1125</v>
      </c>
    </row>
    <row r="17" spans="1:9" ht="12.75">
      <c r="A17" s="25"/>
      <c r="B17" s="77"/>
      <c r="C17" s="77"/>
      <c r="D17" s="79"/>
      <c r="E17" s="77"/>
      <c r="F17" s="77"/>
      <c r="G17" s="144"/>
      <c r="H17" s="67"/>
      <c r="I17" s="67"/>
    </row>
    <row r="18" spans="1:9" ht="12.75">
      <c r="A18" s="223" t="s">
        <v>92</v>
      </c>
      <c r="B18" s="223"/>
      <c r="C18" s="223"/>
      <c r="D18" s="223"/>
      <c r="E18" s="223"/>
      <c r="F18" s="223"/>
      <c r="G18" s="223"/>
      <c r="H18" s="19"/>
      <c r="I18" s="1">
        <f>SUM(I13:I17)</f>
        <v>2993.75</v>
      </c>
    </row>
    <row r="19" spans="1:9" ht="13.5" thickBot="1">
      <c r="A19" s="53"/>
      <c r="B19" s="53"/>
      <c r="C19" s="53"/>
      <c r="D19" s="54"/>
      <c r="E19" s="53"/>
      <c r="F19" s="53"/>
      <c r="G19" s="36"/>
      <c r="H19" s="36"/>
      <c r="I19" s="36"/>
    </row>
    <row r="20" spans="1:9" ht="13.5" thickBot="1">
      <c r="A20" s="10" t="s">
        <v>118</v>
      </c>
      <c r="B20" s="22"/>
      <c r="C20" s="22"/>
      <c r="D20" s="226" t="s">
        <v>121</v>
      </c>
      <c r="E20" s="227"/>
      <c r="F20" s="227"/>
      <c r="G20" s="227"/>
      <c r="H20" s="227"/>
      <c r="I20" s="228"/>
    </row>
    <row r="21" spans="1:10" ht="27.75" customHeight="1">
      <c r="A21" s="75" t="s">
        <v>120</v>
      </c>
      <c r="B21" s="75" t="s">
        <v>172</v>
      </c>
      <c r="C21" s="25" t="s">
        <v>136</v>
      </c>
      <c r="D21" s="92" t="s">
        <v>192</v>
      </c>
      <c r="E21" s="25" t="s">
        <v>34</v>
      </c>
      <c r="F21" s="93">
        <v>13.5</v>
      </c>
      <c r="G21" s="147">
        <v>326.93</v>
      </c>
      <c r="H21" s="59">
        <f>ROUND(G21+G21*I5,2)</f>
        <v>408.66</v>
      </c>
      <c r="I21" s="59">
        <f>H21*F21</f>
        <v>5516.910000000001</v>
      </c>
      <c r="J21" s="47"/>
    </row>
    <row r="22" spans="1:9" ht="12.75">
      <c r="A22" s="223" t="s">
        <v>232</v>
      </c>
      <c r="B22" s="223"/>
      <c r="C22" s="223"/>
      <c r="D22" s="223"/>
      <c r="E22" s="223"/>
      <c r="F22" s="223"/>
      <c r="G22" s="223"/>
      <c r="H22" s="19"/>
      <c r="I22" s="1">
        <f>SUM(I21:I21)</f>
        <v>5516.910000000001</v>
      </c>
    </row>
    <row r="23" spans="1:9" ht="12.75">
      <c r="A23" s="53"/>
      <c r="B23" s="53"/>
      <c r="C23" s="53"/>
      <c r="D23" s="54"/>
      <c r="E23" s="53"/>
      <c r="F23" s="53"/>
      <c r="G23" s="36"/>
      <c r="H23" s="36"/>
      <c r="I23" s="36"/>
    </row>
    <row r="24" spans="1:10" ht="12.75">
      <c r="A24" s="53"/>
      <c r="B24" s="53"/>
      <c r="C24" s="53"/>
      <c r="D24" s="54"/>
      <c r="E24" s="53"/>
      <c r="F24" s="53"/>
      <c r="G24" s="36"/>
      <c r="H24" s="36"/>
      <c r="I24" s="36"/>
      <c r="J24" s="41"/>
    </row>
    <row r="25" spans="1:9" ht="12.75">
      <c r="A25" s="256" t="s">
        <v>132</v>
      </c>
      <c r="B25" s="256"/>
      <c r="C25" s="256"/>
      <c r="D25" s="256"/>
      <c r="E25" s="256"/>
      <c r="F25" s="256"/>
      <c r="G25" s="256"/>
      <c r="H25" s="20"/>
      <c r="I25" s="5">
        <f>I22+I18</f>
        <v>8510.66</v>
      </c>
    </row>
    <row r="27" spans="1:9" ht="27.75" customHeight="1">
      <c r="A27" s="512" t="s">
        <v>263</v>
      </c>
      <c r="B27" s="512"/>
      <c r="C27" s="512"/>
      <c r="D27" s="512"/>
      <c r="E27" s="512"/>
      <c r="F27" s="512"/>
      <c r="G27" s="512"/>
      <c r="H27" s="512"/>
      <c r="I27" s="512"/>
    </row>
    <row r="28" spans="1:9" ht="12.75">
      <c r="A28" s="513" t="s">
        <v>266</v>
      </c>
      <c r="B28" s="513"/>
      <c r="C28" s="513"/>
      <c r="D28" s="513"/>
      <c r="E28" s="513"/>
      <c r="F28" s="513"/>
      <c r="G28" s="513"/>
      <c r="H28" s="513"/>
      <c r="I28" s="513"/>
    </row>
    <row r="29" spans="1:9" ht="12.75">
      <c r="A29" s="513"/>
      <c r="B29" s="513"/>
      <c r="C29" s="513"/>
      <c r="D29" s="513"/>
      <c r="E29" s="513"/>
      <c r="F29" s="513"/>
      <c r="G29" s="513"/>
      <c r="H29" s="513"/>
      <c r="I29" s="513"/>
    </row>
    <row r="30" spans="1:9" ht="12.75">
      <c r="A30" s="513"/>
      <c r="B30" s="513"/>
      <c r="C30" s="513"/>
      <c r="D30" s="513"/>
      <c r="E30" s="513"/>
      <c r="F30" s="513"/>
      <c r="G30" s="513"/>
      <c r="H30" s="513"/>
      <c r="I30" s="513"/>
    </row>
    <row r="31" spans="1:9" ht="12.75">
      <c r="A31" s="513"/>
      <c r="B31" s="513"/>
      <c r="C31" s="513"/>
      <c r="D31" s="513"/>
      <c r="E31" s="513"/>
      <c r="F31" s="513"/>
      <c r="G31" s="513"/>
      <c r="H31" s="513"/>
      <c r="I31" s="513"/>
    </row>
    <row r="32" spans="1:9" ht="12.75">
      <c r="A32" s="513"/>
      <c r="B32" s="513"/>
      <c r="C32" s="513"/>
      <c r="D32" s="513"/>
      <c r="E32" s="513"/>
      <c r="F32" s="513"/>
      <c r="G32" s="513"/>
      <c r="H32" s="513"/>
      <c r="I32" s="513"/>
    </row>
  </sheetData>
  <sheetProtection/>
  <mergeCells count="15">
    <mergeCell ref="D20:I20"/>
    <mergeCell ref="A22:G22"/>
    <mergeCell ref="A25:G25"/>
    <mergeCell ref="A3:I3"/>
    <mergeCell ref="A27:I27"/>
    <mergeCell ref="A28:I32"/>
    <mergeCell ref="D12:I12"/>
    <mergeCell ref="A18:G18"/>
    <mergeCell ref="A7:I7"/>
    <mergeCell ref="A1:I1"/>
    <mergeCell ref="A2:I2"/>
    <mergeCell ref="B4:H4"/>
    <mergeCell ref="B5:H5"/>
    <mergeCell ref="I5:I6"/>
    <mergeCell ref="B6:H6"/>
  </mergeCells>
  <conditionalFormatting sqref="F22:H22 F25:H25 F9:H9 F18:H1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pc</cp:lastModifiedBy>
  <cp:lastPrinted>2021-08-17T20:33:51Z</cp:lastPrinted>
  <dcterms:created xsi:type="dcterms:W3CDTF">2009-07-02T17:29:30Z</dcterms:created>
  <dcterms:modified xsi:type="dcterms:W3CDTF">2023-08-22T11:18:23Z</dcterms:modified>
  <cp:category/>
  <cp:version/>
  <cp:contentType/>
  <cp:contentStatus/>
</cp:coreProperties>
</file>